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15600" windowHeight="6075" tabRatio="757"/>
  </bookViews>
  <sheets>
    <sheet name="Intro" sheetId="1" r:id="rId1"/>
    <sheet name="Tomato Budget" sheetId="9" r:id="rId2"/>
    <sheet name="Price &amp; Yield Anal." sheetId="10" r:id="rId3"/>
    <sheet name="Capital Req" sheetId="3" r:id="rId4"/>
    <sheet name="Int Costs &amp; Dep" sheetId="4" r:id="rId5"/>
  </sheets>
  <calcPr calcId="125725" concurrentCalc="0"/>
</workbook>
</file>

<file path=xl/calcChain.xml><?xml version="1.0" encoding="utf-8"?>
<calcChain xmlns="http://schemas.openxmlformats.org/spreadsheetml/2006/main">
  <c r="E4" i="9"/>
  <c r="D4" i="10"/>
  <c r="F9" i="9"/>
  <c r="F10"/>
  <c r="F11"/>
  <c r="F12"/>
  <c r="F13"/>
  <c r="F15"/>
  <c r="F16"/>
  <c r="F18"/>
  <c r="F20"/>
  <c r="F21"/>
  <c r="F22"/>
  <c r="F25"/>
  <c r="F26"/>
  <c r="F28"/>
  <c r="F29"/>
  <c r="F30"/>
  <c r="F41"/>
  <c r="F42"/>
  <c r="F43"/>
  <c r="C16" i="4"/>
  <c r="C5"/>
  <c r="D5"/>
  <c r="E16"/>
  <c r="D5" i="3"/>
  <c r="C17" i="4"/>
  <c r="C6"/>
  <c r="D6"/>
  <c r="E17"/>
  <c r="F50" i="9"/>
  <c r="C19" i="4"/>
  <c r="E19"/>
  <c r="C20"/>
  <c r="E20"/>
  <c r="C21"/>
  <c r="E21"/>
  <c r="F51" i="9"/>
  <c r="D8" i="4"/>
  <c r="E22"/>
  <c r="F52" i="9"/>
  <c r="F53"/>
  <c r="C4" i="4"/>
  <c r="D4"/>
  <c r="E4"/>
  <c r="F55" i="9"/>
  <c r="E5" i="4"/>
  <c r="E6"/>
  <c r="F56" i="9"/>
  <c r="D16" i="3"/>
  <c r="C7" i="4"/>
  <c r="E7"/>
  <c r="F57" i="9"/>
  <c r="E58"/>
  <c r="F58"/>
  <c r="C8" i="4"/>
  <c r="E8"/>
  <c r="F59" i="9"/>
  <c r="E61"/>
  <c r="F61"/>
  <c r="E62"/>
  <c r="F62"/>
  <c r="F64"/>
  <c r="D5" i="10"/>
  <c r="E4"/>
  <c r="E5"/>
  <c r="F4"/>
  <c r="F5"/>
  <c r="G4"/>
  <c r="G5"/>
  <c r="D6"/>
  <c r="E6"/>
  <c r="F6"/>
  <c r="G6"/>
  <c r="D7"/>
  <c r="E7"/>
  <c r="F7"/>
  <c r="G7"/>
  <c r="D8"/>
  <c r="E8"/>
  <c r="F8"/>
  <c r="G8"/>
  <c r="D9"/>
  <c r="E9"/>
  <c r="F9"/>
  <c r="G9"/>
  <c r="C6"/>
  <c r="C7"/>
  <c r="C8"/>
  <c r="C9"/>
  <c r="C5"/>
  <c r="E33" i="9"/>
  <c r="D21" i="3"/>
  <c r="E34" i="9"/>
  <c r="F34"/>
  <c r="F4"/>
  <c r="F33"/>
  <c r="E32"/>
  <c r="F32"/>
  <c r="F44"/>
  <c r="F45"/>
  <c r="F46"/>
  <c r="F66"/>
  <c r="F68"/>
</calcChain>
</file>

<file path=xl/sharedStrings.xml><?xml version="1.0" encoding="utf-8"?>
<sst xmlns="http://schemas.openxmlformats.org/spreadsheetml/2006/main" count="210" uniqueCount="171">
  <si>
    <t>Instructions for Using the Spreadsheets</t>
  </si>
  <si>
    <t>1.</t>
  </si>
  <si>
    <t>2.</t>
  </si>
  <si>
    <r>
      <t xml:space="preserve">Values in </t>
    </r>
    <r>
      <rPr>
        <b/>
        <sz val="11"/>
        <rFont val="Times New Roman"/>
        <family val="1"/>
      </rPr>
      <t>black</t>
    </r>
    <r>
      <rPr>
        <sz val="11"/>
        <rFont val="Times New Roman"/>
        <family val="1"/>
      </rPr>
      <t xml:space="preserve"> are calculated using the input data and cannot be modified.</t>
    </r>
  </si>
  <si>
    <t xml:space="preserve">Budget Assumptions </t>
  </si>
  <si>
    <t>3.</t>
  </si>
  <si>
    <t>4.</t>
  </si>
  <si>
    <t>5.</t>
  </si>
  <si>
    <t>6.</t>
  </si>
  <si>
    <t>7.</t>
  </si>
  <si>
    <t>Maintenance and Repairs</t>
  </si>
  <si>
    <t>Fueling and Lubrication</t>
  </si>
  <si>
    <t>Irrigation System Maintenance and Repair</t>
  </si>
  <si>
    <t>Other Variable Costs</t>
  </si>
  <si>
    <t>Overhead (5% of variable costs)</t>
  </si>
  <si>
    <t>Total Variable Costs</t>
  </si>
  <si>
    <t>Other Fixed Costs</t>
  </si>
  <si>
    <t>Depreciation</t>
  </si>
  <si>
    <t>Irrigation System</t>
  </si>
  <si>
    <t>Interest</t>
  </si>
  <si>
    <t>Total Fixed Costs</t>
  </si>
  <si>
    <t>Total Cost</t>
  </si>
  <si>
    <t>Total Purchase Price</t>
  </si>
  <si>
    <t>Salvage Value</t>
  </si>
  <si>
    <t>Total Interest Cost</t>
  </si>
  <si>
    <t>Interest Rate</t>
  </si>
  <si>
    <t>Years of Use</t>
  </si>
  <si>
    <t>Fertilizer</t>
  </si>
  <si>
    <t>Labor</t>
  </si>
  <si>
    <t>hour</t>
  </si>
  <si>
    <t>Tomato</t>
  </si>
  <si>
    <t>Quantity</t>
  </si>
  <si>
    <t>Unit</t>
  </si>
  <si>
    <t>Total</t>
  </si>
  <si>
    <t>Total Returns</t>
  </si>
  <si>
    <t>Variable Costs</t>
  </si>
  <si>
    <t>Your Return</t>
  </si>
  <si>
    <t>Your Cost</t>
  </si>
  <si>
    <t>Price/unit</t>
  </si>
  <si>
    <t>Cost/unit</t>
  </si>
  <si>
    <t>Note</t>
  </si>
  <si>
    <t>Boxes</t>
  </si>
  <si>
    <t>10-lb box</t>
  </si>
  <si>
    <t>pound</t>
  </si>
  <si>
    <t xml:space="preserve">Total </t>
  </si>
  <si>
    <t>Fixed Costs</t>
  </si>
  <si>
    <t>Estimated Net Returns</t>
  </si>
  <si>
    <t>Density</t>
  </si>
  <si>
    <t>Overhead</t>
  </si>
  <si>
    <t>Price ($ per pound)</t>
  </si>
  <si>
    <t>Purchase Price*</t>
  </si>
  <si>
    <t>20 ft by 96 ft</t>
  </si>
  <si>
    <t>High tunnel size</t>
  </si>
  <si>
    <t>Soil preparation</t>
  </si>
  <si>
    <t>Material</t>
  </si>
  <si>
    <t>yard</t>
  </si>
  <si>
    <t>Chisel plow</t>
  </si>
  <si>
    <t>Till beds</t>
  </si>
  <si>
    <t>Spread compost</t>
  </si>
  <si>
    <t>Till cover crop and compost</t>
  </si>
  <si>
    <t>Seeding and Transplanting</t>
  </si>
  <si>
    <t>Seeds</t>
  </si>
  <si>
    <t>Transplants</t>
  </si>
  <si>
    <t>Planting</t>
  </si>
  <si>
    <t>pot</t>
  </si>
  <si>
    <t>Production Costs</t>
  </si>
  <si>
    <t>Fungicide</t>
  </si>
  <si>
    <t xml:space="preserve">Irrigation power </t>
  </si>
  <si>
    <t xml:space="preserve">Irrigation water </t>
  </si>
  <si>
    <t>Plastic and stake removal</t>
  </si>
  <si>
    <t>Tunnel temperature management</t>
  </si>
  <si>
    <t>Twine and pruning</t>
  </si>
  <si>
    <t>Picking (per pound)</t>
  </si>
  <si>
    <t>Harvest and Post-harvest Costs</t>
  </si>
  <si>
    <t>Hoops (Steel ribs or tubes)</t>
  </si>
  <si>
    <t>Stakes</t>
  </si>
  <si>
    <t>Poly</t>
  </si>
  <si>
    <t>Rope</t>
  </si>
  <si>
    <t>End walls</t>
  </si>
  <si>
    <t>Fertilizer injector</t>
  </si>
  <si>
    <t>Anchors (6)</t>
  </si>
  <si>
    <t>Permit</t>
  </si>
  <si>
    <t>Based on 80 lbs per hour</t>
  </si>
  <si>
    <t>Trellis System</t>
  </si>
  <si>
    <t>Included in overhead cost</t>
  </si>
  <si>
    <t>8.</t>
  </si>
  <si>
    <t>Depreciation Cost</t>
  </si>
  <si>
    <t>Trellis set up</t>
  </si>
  <si>
    <t>In-row spacing</t>
  </si>
  <si>
    <t>1 ft</t>
  </si>
  <si>
    <t>500-seed pack</t>
  </si>
  <si>
    <t>Irrigation and fertigation management</t>
  </si>
  <si>
    <t>Supplies (strings, hanger, tomato clips)</t>
  </si>
  <si>
    <t>20% over desired number of plants (i.e., about 691 seeds)</t>
  </si>
  <si>
    <t>2 people spending 4 hours each</t>
  </si>
  <si>
    <t>Done 4 different times during the growing season; 5 hours each time</t>
  </si>
  <si>
    <t>Plastic over the tunnel</t>
  </si>
  <si>
    <t>Over a 4-month period</t>
  </si>
  <si>
    <t xml:space="preserve">Done by one person </t>
  </si>
  <si>
    <t xml:space="preserve">The growing season of tomatoes is from February 1st to October 1st and the harvest season is from June/July to October 1st. </t>
  </si>
  <si>
    <t>gallon</t>
  </si>
  <si>
    <t>Fertiligation liquid fertilizer; 1 gal/wk for 12 weeks</t>
  </si>
  <si>
    <t>High tunnel structure (20' x 96')</t>
  </si>
  <si>
    <t>Equipment and Supplies</t>
  </si>
  <si>
    <t>Equipment Annual Replacement Cost</t>
  </si>
  <si>
    <t>Table 4. Physical Capital Requirements of High-Tunnel Tomato Production</t>
  </si>
  <si>
    <t>Row length</t>
  </si>
  <si>
    <t>96 ft</t>
  </si>
  <si>
    <t>Number of Rows</t>
  </si>
  <si>
    <t>5 rows</t>
  </si>
  <si>
    <t>The specifications of tomato production in high tunnel are as follows:</t>
  </si>
  <si>
    <t>Row width</t>
  </si>
  <si>
    <t>Tunnel and Equipment Maintenance and Repairs</t>
  </si>
  <si>
    <t>Maintaining the high tunnel including repairs due to wind damage, equipment, etc.</t>
  </si>
  <si>
    <t>3.5 ft</t>
  </si>
  <si>
    <t>Reinforcements (additional pipes)**</t>
  </si>
  <si>
    <t>Between-row spacing</t>
  </si>
  <si>
    <r>
      <t xml:space="preserve">Values in </t>
    </r>
    <r>
      <rPr>
        <sz val="11"/>
        <color indexed="10"/>
        <rFont val="Times New Roman"/>
        <family val="1"/>
      </rPr>
      <t>red</t>
    </r>
    <r>
      <rPr>
        <sz val="11"/>
        <color indexed="8"/>
        <rFont val="Times New Roman"/>
        <family val="1"/>
      </rPr>
      <t xml:space="preserve"> are provided by growers who participated in this budget's development. These values can be changed. To customize your own production scenario, please change the </t>
    </r>
    <r>
      <rPr>
        <sz val="11"/>
        <color indexed="10"/>
        <rFont val="Times New Roman"/>
        <family val="1"/>
      </rPr>
      <t>red</t>
    </r>
    <r>
      <rPr>
        <sz val="11"/>
        <color indexed="8"/>
        <rFont val="Times New Roman"/>
        <family val="1"/>
      </rPr>
      <t xml:space="preserve"> values in the following spreadsheets: Tomato Budget; Capital Req; and Int Costs &amp; Dep.</t>
    </r>
  </si>
  <si>
    <t>Trellis system</t>
  </si>
  <si>
    <t>**To keep the high tunnel in place during windy conditions.</t>
  </si>
  <si>
    <r>
      <t>Irrigation labor</t>
    </r>
    <r>
      <rPr>
        <vertAlign val="superscript"/>
        <sz val="11"/>
        <color indexed="8"/>
        <rFont val="Times New Roman"/>
        <family val="1"/>
      </rPr>
      <t>[3]</t>
    </r>
  </si>
  <si>
    <t>[2] Takes 6 hours to set it up (3 people at 2 hours each); 3 hours to take it down (3 people at 1 hour each); and 2 hours additional to take out the twine, strings, etc.</t>
  </si>
  <si>
    <t>[3] Roll up irrigation line at the end of growing season.</t>
  </si>
  <si>
    <t>GAP procedure is followed; grading, washing and packing 100 lbs per hour</t>
  </si>
  <si>
    <t xml:space="preserve">High Tunnel </t>
  </si>
  <si>
    <t xml:space="preserve">480 tomato plants </t>
  </si>
  <si>
    <t>Variety</t>
  </si>
  <si>
    <t>Indeterminate</t>
  </si>
  <si>
    <t>Washing, grading and packing (per pound)</t>
  </si>
  <si>
    <t>Has own water source; not connected to irrigation district.</t>
  </si>
  <si>
    <t>No building permit necessary for high tunnel built in Washington.</t>
  </si>
  <si>
    <t>Management</t>
  </si>
  <si>
    <t>acre</t>
  </si>
  <si>
    <t>Land</t>
  </si>
  <si>
    <t>Land and Property Tax</t>
  </si>
  <si>
    <t>Estimated value of agricultural land is $9,330 per acre. Interest rate is 5%.</t>
  </si>
  <si>
    <t>Irrigation pipe and risers</t>
  </si>
  <si>
    <t>PVC unit and various PVC pieces, ball valves, pressure gauge</t>
  </si>
  <si>
    <t>Irrigation system - Outlet (outside the high tunnel)</t>
  </si>
  <si>
    <t>Irrigation system - Drip (inside the high tunnel)</t>
  </si>
  <si>
    <t>Drip</t>
  </si>
  <si>
    <t>Irrigation pipe &amp; risers</t>
  </si>
  <si>
    <t>PVC unit and other PVC pieces</t>
  </si>
  <si>
    <r>
      <t>High tunnel set up and removal</t>
    </r>
    <r>
      <rPr>
        <vertAlign val="superscript"/>
        <sz val="11"/>
        <color indexed="8"/>
        <rFont val="Times New Roman"/>
        <family val="1"/>
      </rPr>
      <t>[2]</t>
    </r>
  </si>
  <si>
    <r>
      <t>Marketing costs</t>
    </r>
    <r>
      <rPr>
        <vertAlign val="superscript"/>
        <sz val="11"/>
        <color theme="1"/>
        <rFont val="Times New Roman"/>
        <family val="1"/>
      </rPr>
      <t>[1]</t>
    </r>
  </si>
  <si>
    <r>
      <t>Interest on Variable Costs (5%)</t>
    </r>
    <r>
      <rPr>
        <vertAlign val="superscript"/>
        <sz val="11"/>
        <color theme="1"/>
        <rFont val="Times New Roman"/>
        <family val="1"/>
      </rPr>
      <t>[4]</t>
    </r>
  </si>
  <si>
    <t>[4] Interest expense on 8 months based on growing season.</t>
  </si>
  <si>
    <t>The marketable yield is 9 lbs/plant.  There are 480 plants of tomatoes grown in the high tunnel.</t>
  </si>
  <si>
    <t>Estimated cost related to high-tunnel grown tomatoes as a portion of total direct marketing costs of all agricultural produce</t>
  </si>
  <si>
    <t>Marketable Yield (pounds/tunnel)</t>
  </si>
  <si>
    <t xml:space="preserve">Table 5. Interest Costs ($/tunnel) of High-Tunnel Tomato Production </t>
  </si>
  <si>
    <t xml:space="preserve">Table 6. Depreciation Costs ($/tunnel) of High-Tunnel Tomato Production </t>
  </si>
  <si>
    <r>
      <t xml:space="preserve">*An estimate of </t>
    </r>
    <r>
      <rPr>
        <u/>
        <sz val="10"/>
        <color indexed="8"/>
        <rFont val="Times New Roman"/>
        <family val="1"/>
      </rPr>
      <t>average annual replacement costs</t>
    </r>
    <r>
      <rPr>
        <sz val="10"/>
        <color indexed="8"/>
        <rFont val="Times New Roman"/>
        <family val="1"/>
      </rPr>
      <t>, rather than depreciation costs, is used for equipment. Replacement prices may overstate growers' perceptions; however, they indicate the earnings needed to replace depreciable assets. When looking at long-term enterprise viability, it is important to consider the ability of the enterprise to replace depreciable assets.</t>
    </r>
  </si>
  <si>
    <t>Interest on investment represents a 5% opportunity cost to the enterprise. These are forgone earnings for investing money in high-tunnel tomato production rather than an alternative activity. This also represents interest on funds borrowed to finance high tunnel production-related purchases.</t>
  </si>
  <si>
    <t xml:space="preserve">The enterprise budget is for tomato production in a high tunnel. The high tunnel is an add-on to an already existing farm enterprise.  The basic overhead costs of a farm, such as buildings, farm equipment and vehicles, fees and other dues, are assumed to be covered by the farm business. Only new expenses associated with the high tunnel are included in this scenario. </t>
  </si>
  <si>
    <t xml:space="preserve">The marketable yield of tomatoes is 9 pounds/plant. It is assumed that 90% of the total tomato yield is marketable.Tomatoes are sold via direct marketing (e.g., local farmers markets, co-ops, and CSAs). Return to the grower is $3 per pound. </t>
  </si>
  <si>
    <t>*Purchase price is approximate and corresponds to new high tunnel structure, equipment, or supplies.</t>
  </si>
  <si>
    <t>Equipment and supplies</t>
  </si>
  <si>
    <t>High tunnel - poly</t>
  </si>
  <si>
    <t>High tunnel - skeleton/metal parts</t>
  </si>
  <si>
    <t>Irrigation system</t>
  </si>
  <si>
    <t>Equipment replacement cost*</t>
  </si>
  <si>
    <t>[1] Assumes deliveries and sales of high-tunnel grown tomato (along with other agricultural produce) in 11 markets such as CSAs, farmers' markets, etc.</t>
  </si>
  <si>
    <t>Table 1. Production Specifications of Tomato Grown in a High Tunnel</t>
  </si>
  <si>
    <t>Table 3. Estimated Net Returns ($/tunnel) at Various Prices and Yields of High Tunnel-Grown Tomato</t>
  </si>
  <si>
    <t>By Suzette P. Galinato, Carol A. Miles and Srinivasa S. Ponnaluru</t>
  </si>
  <si>
    <t>The high tunnel is 20-feet by 96-feet with end walls. It is a three-season structure that is set up in mid-April and taken down in November. Only tomatoes are being produced in the high tunnel.</t>
  </si>
  <si>
    <t xml:space="preserve">2011 Cost Estimates of Producing High-Tunnel Tomatoes in Western Washington </t>
  </si>
  <si>
    <t>Based on the specifications in Table 1, the growing area (i.e., row area multiplied by the number of rows in the high tunnel) for tomatoes is 480 sq. ft. The rest of the space in the tunnel is devoted to utility area such as walk path, handling station, etc.</t>
  </si>
  <si>
    <t>The high tunnel uses a drip irrigation system. Installation includes a fixed cost of $50 for the system parts and $50 annual labor cost to roll up the irrigation line at the end of the growing season.  Irrigation outlet installed outside the high tunnel costs $815.</t>
  </si>
  <si>
    <t>Table 2. Estimated Cost and Returns of Producing Tomatoes in a High Tunnel ($/tunnel)</t>
  </si>
</sst>
</file>

<file path=xl/styles.xml><?xml version="1.0" encoding="utf-8"?>
<styleSheet xmlns="http://schemas.openxmlformats.org/spreadsheetml/2006/main">
  <numFmts count="5">
    <numFmt numFmtId="7" formatCode="&quot;$&quot;#,##0.00_);\(&quot;$&quot;#,##0.00\)"/>
    <numFmt numFmtId="43" formatCode="_(* #,##0.00_);_(* \(#,##0.00\);_(* &quot;-&quot;??_);_(@_)"/>
    <numFmt numFmtId="164" formatCode="&quot;$&quot;#,##0.00"/>
    <numFmt numFmtId="165" formatCode="&quot;$&quot;#,##0"/>
    <numFmt numFmtId="166" formatCode="0.0%"/>
  </numFmts>
  <fonts count="33">
    <font>
      <sz val="11"/>
      <color theme="1"/>
      <name val="Calibri"/>
      <family val="2"/>
      <scheme val="minor"/>
    </font>
    <font>
      <sz val="11"/>
      <name val="Times New Roman"/>
      <family val="1"/>
    </font>
    <font>
      <b/>
      <sz val="14"/>
      <name val="Times New Roman"/>
      <family val="1"/>
    </font>
    <font>
      <b/>
      <sz val="12"/>
      <name val="Times New Roman"/>
      <family val="1"/>
    </font>
    <font>
      <b/>
      <sz val="11"/>
      <name val="Times New Roman"/>
      <family val="1"/>
    </font>
    <font>
      <sz val="11"/>
      <color indexed="8"/>
      <name val="Times New Roman"/>
      <family val="1"/>
    </font>
    <font>
      <sz val="11"/>
      <color indexed="53"/>
      <name val="Times New Roman"/>
      <family val="1"/>
    </font>
    <font>
      <sz val="11"/>
      <color indexed="8"/>
      <name val="Calibri"/>
      <family val="2"/>
    </font>
    <font>
      <sz val="10"/>
      <name val="Times New Roman"/>
      <family val="1"/>
    </font>
    <font>
      <b/>
      <sz val="11"/>
      <color indexed="8"/>
      <name val="Times New Roman"/>
      <family val="1"/>
    </font>
    <font>
      <sz val="10"/>
      <color indexed="8"/>
      <name val="Times New Roman"/>
      <family val="1"/>
    </font>
    <font>
      <b/>
      <sz val="14"/>
      <color indexed="8"/>
      <name val="Times New Roman"/>
      <family val="1"/>
    </font>
    <font>
      <sz val="11"/>
      <name val="Calibri"/>
      <family val="2"/>
    </font>
    <font>
      <vertAlign val="superscript"/>
      <sz val="10"/>
      <name val="Times New Roman"/>
      <family val="1"/>
    </font>
    <font>
      <sz val="11"/>
      <color indexed="10"/>
      <name val="Times New Roman"/>
      <family val="1"/>
    </font>
    <font>
      <vertAlign val="superscript"/>
      <sz val="11"/>
      <color indexed="8"/>
      <name val="Times New Roman"/>
      <family val="1"/>
    </font>
    <font>
      <sz val="11"/>
      <color theme="1"/>
      <name val="Calibri"/>
      <family val="2"/>
      <scheme val="minor"/>
    </font>
    <font>
      <sz val="11"/>
      <color theme="1"/>
      <name val="Times New Roman"/>
      <family val="1"/>
    </font>
    <font>
      <b/>
      <sz val="11"/>
      <color theme="1"/>
      <name val="Times New Roman"/>
      <family val="1"/>
    </font>
    <font>
      <b/>
      <i/>
      <sz val="11"/>
      <color theme="1"/>
      <name val="Times New Roman"/>
      <family val="1"/>
    </font>
    <font>
      <b/>
      <u/>
      <sz val="11"/>
      <color theme="1"/>
      <name val="Times New Roman"/>
      <family val="1"/>
    </font>
    <font>
      <sz val="11"/>
      <color theme="9" tint="-0.249977111117893"/>
      <name val="Times New Roman"/>
      <family val="1"/>
    </font>
    <font>
      <sz val="11"/>
      <color rgb="FFFF0000"/>
      <name val="Times New Roman"/>
      <family val="1"/>
    </font>
    <font>
      <b/>
      <sz val="14"/>
      <color theme="1"/>
      <name val="Times New Roman"/>
      <family val="1"/>
    </font>
    <font>
      <sz val="11"/>
      <color theme="7"/>
      <name val="Times New Roman"/>
      <family val="1"/>
    </font>
    <font>
      <i/>
      <sz val="10"/>
      <name val="Times New Roman"/>
      <family val="1"/>
    </font>
    <font>
      <i/>
      <sz val="10"/>
      <color rgb="FFFF0000"/>
      <name val="Times New Roman"/>
      <family val="1"/>
    </font>
    <font>
      <i/>
      <sz val="10"/>
      <color theme="1"/>
      <name val="Times New Roman"/>
      <family val="1"/>
    </font>
    <font>
      <vertAlign val="superscript"/>
      <sz val="11"/>
      <color theme="1"/>
      <name val="Times New Roman"/>
      <family val="1"/>
    </font>
    <font>
      <i/>
      <sz val="11"/>
      <color indexed="8"/>
      <name val="Times New Roman"/>
      <family val="1"/>
    </font>
    <font>
      <i/>
      <sz val="11"/>
      <color rgb="FFFF0000"/>
      <name val="Times New Roman"/>
      <family val="1"/>
    </font>
    <font>
      <u/>
      <sz val="10"/>
      <color indexed="8"/>
      <name val="Times New Roman"/>
      <family val="1"/>
    </font>
    <font>
      <sz val="12"/>
      <color indexed="8"/>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s>
  <cellStyleXfs count="3">
    <xf numFmtId="0" fontId="0" fillId="0" borderId="0"/>
    <xf numFmtId="9" fontId="16" fillId="0" borderId="0" applyFont="0" applyFill="0" applyBorder="0" applyAlignment="0" applyProtection="0"/>
    <xf numFmtId="9" fontId="7" fillId="0" borderId="0" applyFont="0" applyFill="0" applyBorder="0" applyAlignment="0" applyProtection="0"/>
  </cellStyleXfs>
  <cellXfs count="164">
    <xf numFmtId="0" fontId="0" fillId="0" borderId="0" xfId="0"/>
    <xf numFmtId="0" fontId="1" fillId="2" borderId="0" xfId="0" applyFont="1" applyFill="1"/>
    <xf numFmtId="0" fontId="1" fillId="2" borderId="0" xfId="0" applyFont="1" applyFill="1" applyBorder="1"/>
    <xf numFmtId="0" fontId="5" fillId="2" borderId="0" xfId="0" applyFont="1" applyFill="1"/>
    <xf numFmtId="0" fontId="5" fillId="2" borderId="0" xfId="0" applyFont="1" applyFill="1" applyBorder="1"/>
    <xf numFmtId="4" fontId="5" fillId="2" borderId="0" xfId="0" applyNumberFormat="1" applyFont="1" applyFill="1"/>
    <xf numFmtId="0" fontId="8" fillId="2" borderId="0" xfId="0" applyFont="1" applyFill="1"/>
    <xf numFmtId="0" fontId="9" fillId="2" borderId="2" xfId="0" applyFont="1" applyFill="1" applyBorder="1" applyAlignment="1">
      <alignment horizontal="left" wrapText="1"/>
    </xf>
    <xf numFmtId="0" fontId="9" fillId="2" borderId="2" xfId="0" applyFont="1" applyFill="1" applyBorder="1" applyAlignment="1">
      <alignment horizontal="center" wrapText="1"/>
    </xf>
    <xf numFmtId="0" fontId="5" fillId="2" borderId="0" xfId="0" applyFont="1" applyFill="1" applyAlignment="1">
      <alignment horizontal="left"/>
    </xf>
    <xf numFmtId="165" fontId="6" fillId="2" borderId="0" xfId="0" applyNumberFormat="1" applyFont="1" applyFill="1" applyAlignment="1" applyProtection="1">
      <alignment horizontal="right" vertical="center" indent="3"/>
      <protection locked="0"/>
    </xf>
    <xf numFmtId="165" fontId="5" fillId="2" borderId="0" xfId="0" applyNumberFormat="1" applyFont="1" applyFill="1" applyAlignment="1">
      <alignment horizontal="right" vertical="center" indent="3"/>
    </xf>
    <xf numFmtId="0" fontId="9" fillId="2" borderId="1" xfId="0" applyFont="1" applyFill="1" applyBorder="1" applyAlignment="1">
      <alignment horizontal="left"/>
    </xf>
    <xf numFmtId="165" fontId="9" fillId="2" borderId="1" xfId="0" applyNumberFormat="1" applyFont="1" applyFill="1" applyBorder="1" applyAlignment="1">
      <alignment horizontal="right" vertical="center" indent="3"/>
    </xf>
    <xf numFmtId="0" fontId="10" fillId="2" borderId="0" xfId="0" applyFont="1" applyFill="1"/>
    <xf numFmtId="0" fontId="11" fillId="2" borderId="0" xfId="0" applyFont="1" applyFill="1" applyBorder="1" applyAlignment="1">
      <alignment wrapText="1"/>
    </xf>
    <xf numFmtId="0" fontId="6" fillId="2" borderId="0" xfId="0" applyFont="1" applyFill="1"/>
    <xf numFmtId="0" fontId="12" fillId="2" borderId="0" xfId="0" applyFont="1" applyFill="1"/>
    <xf numFmtId="0" fontId="1" fillId="2" borderId="1" xfId="0" applyFont="1" applyFill="1" applyBorder="1" applyAlignment="1">
      <alignment horizontal="left"/>
    </xf>
    <xf numFmtId="0" fontId="13" fillId="2" borderId="0" xfId="0" applyFont="1" applyFill="1"/>
    <xf numFmtId="0" fontId="4" fillId="2" borderId="2" xfId="0" applyFont="1" applyFill="1" applyBorder="1" applyAlignment="1">
      <alignment horizontal="left" wrapText="1"/>
    </xf>
    <xf numFmtId="0" fontId="4" fillId="2" borderId="2" xfId="0" applyFont="1" applyFill="1" applyBorder="1" applyAlignment="1">
      <alignment horizontal="center" wrapText="1"/>
    </xf>
    <xf numFmtId="164" fontId="1" fillId="2" borderId="0" xfId="0" applyNumberFormat="1" applyFont="1" applyFill="1" applyAlignment="1">
      <alignment horizontal="right" vertical="center" indent="4"/>
    </xf>
    <xf numFmtId="3" fontId="1" fillId="2" borderId="1" xfId="0" applyNumberFormat="1" applyFont="1" applyFill="1" applyBorder="1" applyAlignment="1">
      <alignment horizontal="right" vertical="center" indent="3"/>
    </xf>
    <xf numFmtId="0" fontId="14" fillId="2" borderId="0" xfId="0" applyFont="1" applyFill="1"/>
    <xf numFmtId="0" fontId="14" fillId="2" borderId="0" xfId="0" quotePrefix="1" applyFont="1" applyFill="1"/>
    <xf numFmtId="0" fontId="5" fillId="2" borderId="0" xfId="0" applyFont="1" applyFill="1" applyAlignment="1">
      <alignment wrapText="1"/>
    </xf>
    <xf numFmtId="0" fontId="17" fillId="3" borderId="0" xfId="0" applyFont="1" applyFill="1"/>
    <xf numFmtId="0" fontId="18" fillId="3" borderId="0" xfId="0" applyFont="1" applyFill="1"/>
    <xf numFmtId="0" fontId="17" fillId="3" borderId="0" xfId="0" applyFont="1" applyFill="1" applyAlignment="1">
      <alignment horizontal="left" indent="2"/>
    </xf>
    <xf numFmtId="0" fontId="17" fillId="3" borderId="0" xfId="0" applyFont="1" applyFill="1" applyBorder="1"/>
    <xf numFmtId="43" fontId="17" fillId="3" borderId="0" xfId="0" applyNumberFormat="1" applyFont="1" applyFill="1" applyBorder="1"/>
    <xf numFmtId="0" fontId="17" fillId="3" borderId="0" xfId="0" applyFont="1" applyFill="1" applyAlignment="1">
      <alignment horizontal="left"/>
    </xf>
    <xf numFmtId="0" fontId="17" fillId="3" borderId="0" xfId="0" applyFont="1" applyFill="1" applyAlignment="1">
      <alignment horizontal="right"/>
    </xf>
    <xf numFmtId="0" fontId="19" fillId="3" borderId="0" xfId="0" applyFont="1" applyFill="1"/>
    <xf numFmtId="0" fontId="17" fillId="3" borderId="0" xfId="0" applyFont="1" applyFill="1" applyAlignment="1">
      <alignment horizontal="left" indent="1"/>
    </xf>
    <xf numFmtId="0" fontId="19" fillId="3" borderId="0" xfId="0" applyFont="1" applyFill="1" applyAlignment="1">
      <alignment horizontal="left"/>
    </xf>
    <xf numFmtId="1" fontId="17" fillId="3" borderId="0" xfId="0" applyNumberFormat="1" applyFont="1" applyFill="1" applyAlignment="1">
      <alignment horizontal="right"/>
    </xf>
    <xf numFmtId="0" fontId="18" fillId="3" borderId="0" xfId="0" applyFont="1" applyFill="1" applyAlignment="1">
      <alignment horizontal="left"/>
    </xf>
    <xf numFmtId="0" fontId="18" fillId="3" borderId="0" xfId="0" applyFont="1" applyFill="1" applyAlignment="1">
      <alignment horizontal="right"/>
    </xf>
    <xf numFmtId="0" fontId="20" fillId="3" borderId="0" xfId="0" applyFont="1" applyFill="1" applyAlignment="1">
      <alignment horizontal="left"/>
    </xf>
    <xf numFmtId="0" fontId="20" fillId="3" borderId="0" xfId="0" applyFont="1" applyFill="1" applyAlignment="1">
      <alignment horizontal="right"/>
    </xf>
    <xf numFmtId="1" fontId="18" fillId="3" borderId="0" xfId="0" applyNumberFormat="1" applyFont="1" applyFill="1" applyAlignment="1">
      <alignment horizontal="right"/>
    </xf>
    <xf numFmtId="0" fontId="21" fillId="3" borderId="0" xfId="0" applyFont="1" applyFill="1" applyAlignment="1">
      <alignment horizontal="right"/>
    </xf>
    <xf numFmtId="0" fontId="1" fillId="3" borderId="0" xfId="0" applyFont="1" applyFill="1"/>
    <xf numFmtId="0" fontId="18" fillId="3" borderId="1" xfId="0" applyFont="1" applyFill="1" applyBorder="1" applyAlignment="1">
      <alignment horizontal="left"/>
    </xf>
    <xf numFmtId="0" fontId="17" fillId="3" borderId="1" xfId="0" applyFont="1" applyFill="1" applyBorder="1"/>
    <xf numFmtId="0" fontId="17" fillId="3" borderId="1" xfId="0" applyFont="1" applyFill="1" applyBorder="1" applyAlignment="1">
      <alignment horizontal="left"/>
    </xf>
    <xf numFmtId="0" fontId="17" fillId="3" borderId="1" xfId="0" applyFont="1" applyFill="1" applyBorder="1" applyAlignment="1">
      <alignment horizontal="right"/>
    </xf>
    <xf numFmtId="0" fontId="17" fillId="3" borderId="5" xfId="0" applyFont="1" applyFill="1" applyBorder="1" applyAlignment="1">
      <alignment horizontal="left"/>
    </xf>
    <xf numFmtId="0" fontId="17" fillId="3" borderId="0" xfId="0" applyFont="1" applyFill="1" applyBorder="1" applyAlignment="1">
      <alignment horizontal="left"/>
    </xf>
    <xf numFmtId="0" fontId="18" fillId="3" borderId="4" xfId="0" applyFont="1" applyFill="1" applyBorder="1" applyAlignment="1">
      <alignment horizontal="left"/>
    </xf>
    <xf numFmtId="0" fontId="17" fillId="2" borderId="0" xfId="0" applyFont="1" applyFill="1"/>
    <xf numFmtId="0" fontId="17" fillId="3" borderId="0" xfId="0" applyFont="1" applyFill="1" applyAlignment="1">
      <alignment horizontal="left" vertical="top" wrapText="1" indent="1"/>
    </xf>
    <xf numFmtId="0" fontId="17" fillId="3" borderId="0" xfId="0" applyFont="1" applyFill="1" applyAlignment="1">
      <alignment horizontal="left" vertical="top" wrapText="1"/>
    </xf>
    <xf numFmtId="0" fontId="17" fillId="3" borderId="0" xfId="0" applyFont="1" applyFill="1" applyAlignment="1">
      <alignment horizontal="left" wrapText="1"/>
    </xf>
    <xf numFmtId="0" fontId="3" fillId="3" borderId="0" xfId="0" applyFont="1" applyFill="1" applyAlignment="1">
      <alignment horizontal="left"/>
    </xf>
    <xf numFmtId="0" fontId="4" fillId="3" borderId="0" xfId="0" applyFont="1" applyFill="1"/>
    <xf numFmtId="0" fontId="1" fillId="3" borderId="0" xfId="0" quotePrefix="1" applyFont="1" applyFill="1" applyBorder="1" applyAlignment="1">
      <alignment horizontal="right" vertical="top" indent="1"/>
    </xf>
    <xf numFmtId="0" fontId="1" fillId="3" borderId="0" xfId="0" quotePrefix="1" applyFont="1" applyFill="1" applyBorder="1" applyAlignment="1">
      <alignment horizontal="right" indent="1"/>
    </xf>
    <xf numFmtId="0" fontId="1" fillId="3" borderId="0" xfId="0" quotePrefix="1" applyFont="1" applyFill="1" applyBorder="1" applyAlignment="1">
      <alignment horizontal="right" vertical="top"/>
    </xf>
    <xf numFmtId="0" fontId="22" fillId="3" borderId="0" xfId="0" applyFont="1" applyFill="1"/>
    <xf numFmtId="0" fontId="4" fillId="3" borderId="0" xfId="0" applyFont="1" applyFill="1" applyBorder="1" applyAlignment="1">
      <alignment horizontal="left"/>
    </xf>
    <xf numFmtId="0" fontId="2" fillId="3" borderId="0" xfId="0" applyFont="1" applyFill="1" applyBorder="1" applyAlignment="1">
      <alignment horizontal="left"/>
    </xf>
    <xf numFmtId="0" fontId="1" fillId="3" borderId="0" xfId="0" applyFont="1" applyFill="1" applyAlignment="1">
      <alignment horizontal="left"/>
    </xf>
    <xf numFmtId="0" fontId="4" fillId="3" borderId="1" xfId="0" applyFont="1" applyFill="1" applyBorder="1"/>
    <xf numFmtId="0" fontId="1" fillId="3" borderId="1" xfId="0" applyFont="1" applyFill="1" applyBorder="1"/>
    <xf numFmtId="0" fontId="4" fillId="3" borderId="0" xfId="0" applyFont="1" applyFill="1" applyBorder="1"/>
    <xf numFmtId="0" fontId="1" fillId="3" borderId="0" xfId="0" applyFont="1" applyFill="1" applyBorder="1"/>
    <xf numFmtId="0" fontId="1" fillId="3" borderId="0" xfId="0" applyFont="1" applyFill="1" applyBorder="1" applyAlignment="1">
      <alignment vertical="top" wrapText="1"/>
    </xf>
    <xf numFmtId="9" fontId="21" fillId="3" borderId="0" xfId="0" applyNumberFormat="1" applyFont="1" applyFill="1" applyBorder="1" applyAlignment="1">
      <alignment horizontal="left"/>
    </xf>
    <xf numFmtId="0" fontId="1" fillId="3" borderId="0" xfId="0" applyFont="1" applyFill="1" applyBorder="1" applyAlignment="1">
      <alignment horizontal="left" indent="1"/>
    </xf>
    <xf numFmtId="0" fontId="17" fillId="3" borderId="0" xfId="0" applyFont="1" applyFill="1" applyAlignment="1">
      <alignment vertical="top" wrapText="1"/>
    </xf>
    <xf numFmtId="2" fontId="22" fillId="3" borderId="0" xfId="0" applyNumberFormat="1" applyFont="1" applyFill="1" applyAlignment="1">
      <alignment horizontal="right"/>
    </xf>
    <xf numFmtId="0" fontId="22" fillId="3" borderId="0" xfId="0" applyFont="1" applyFill="1" applyAlignment="1">
      <alignment horizontal="right"/>
    </xf>
    <xf numFmtId="165" fontId="22" fillId="2" borderId="0" xfId="0" applyNumberFormat="1" applyFont="1" applyFill="1" applyAlignment="1" applyProtection="1">
      <alignment horizontal="right" vertical="center" indent="3"/>
      <protection locked="0"/>
    </xf>
    <xf numFmtId="0" fontId="9" fillId="2" borderId="0" xfId="0" applyFont="1" applyFill="1" applyBorder="1" applyAlignment="1">
      <alignment horizontal="center" wrapText="1"/>
    </xf>
    <xf numFmtId="164" fontId="5" fillId="2" borderId="0" xfId="0" applyNumberFormat="1" applyFont="1" applyFill="1" applyBorder="1" applyAlignment="1">
      <alignment horizontal="right" vertical="center" indent="4"/>
    </xf>
    <xf numFmtId="165" fontId="22" fillId="2" borderId="0" xfId="0" applyNumberFormat="1" applyFont="1" applyFill="1" applyAlignment="1">
      <alignment horizontal="right" vertical="center" indent="3"/>
    </xf>
    <xf numFmtId="3" fontId="22" fillId="2" borderId="0" xfId="0" applyNumberFormat="1" applyFont="1" applyFill="1" applyAlignment="1" applyProtection="1">
      <alignment horizontal="right" vertical="center" indent="4"/>
      <protection locked="0"/>
    </xf>
    <xf numFmtId="164" fontId="22" fillId="2" borderId="1" xfId="0" applyNumberFormat="1" applyFont="1" applyFill="1" applyBorder="1" applyAlignment="1">
      <alignment horizontal="right" vertical="center" indent="4"/>
    </xf>
    <xf numFmtId="3" fontId="22" fillId="3" borderId="0" xfId="0" applyNumberFormat="1" applyFont="1" applyFill="1" applyAlignment="1">
      <alignment horizontal="right" vertical="top" wrapText="1"/>
    </xf>
    <xf numFmtId="3" fontId="17" fillId="3" borderId="0" xfId="0" applyNumberFormat="1" applyFont="1" applyFill="1" applyAlignment="1">
      <alignment horizontal="right" vertical="top" wrapText="1"/>
    </xf>
    <xf numFmtId="0" fontId="18" fillId="3" borderId="1" xfId="0" applyFont="1" applyFill="1" applyBorder="1" applyAlignment="1">
      <alignment horizontal="left" vertical="top" wrapText="1"/>
    </xf>
    <xf numFmtId="3" fontId="22" fillId="3" borderId="0" xfId="0" applyNumberFormat="1" applyFont="1" applyFill="1" applyBorder="1" applyAlignment="1">
      <alignment horizontal="center"/>
    </xf>
    <xf numFmtId="0" fontId="24" fillId="3" borderId="0" xfId="0" applyFont="1" applyFill="1" applyAlignment="1">
      <alignment horizontal="left"/>
    </xf>
    <xf numFmtId="0" fontId="24" fillId="3" borderId="0" xfId="0" applyFont="1" applyFill="1" applyAlignment="1">
      <alignment horizontal="right"/>
    </xf>
    <xf numFmtId="0" fontId="1" fillId="3" borderId="0" xfId="0" applyFont="1" applyFill="1" applyAlignment="1">
      <alignment horizontal="right"/>
    </xf>
    <xf numFmtId="0" fontId="1" fillId="3" borderId="0" xfId="0" applyFont="1" applyFill="1" applyAlignment="1">
      <alignment horizontal="left" indent="2"/>
    </xf>
    <xf numFmtId="0" fontId="1" fillId="3" borderId="0" xfId="0" applyFont="1" applyFill="1" applyAlignment="1">
      <alignment horizontal="left" indent="1"/>
    </xf>
    <xf numFmtId="0" fontId="25" fillId="2" borderId="0" xfId="0" applyFont="1" applyFill="1" applyBorder="1" applyAlignment="1">
      <alignment horizontal="left"/>
    </xf>
    <xf numFmtId="166" fontId="26" fillId="2" borderId="0" xfId="2" applyNumberFormat="1" applyFont="1" applyFill="1" applyBorder="1" applyAlignment="1" applyProtection="1">
      <alignment horizontal="right" indent="3"/>
      <protection locked="0"/>
    </xf>
    <xf numFmtId="0" fontId="8" fillId="2" borderId="0" xfId="0" applyFont="1" applyFill="1" applyBorder="1"/>
    <xf numFmtId="0" fontId="25" fillId="2" borderId="1" xfId="0" applyFont="1" applyFill="1" applyBorder="1" applyAlignment="1">
      <alignment horizontal="left"/>
    </xf>
    <xf numFmtId="166" fontId="26" fillId="2" borderId="1" xfId="2" applyNumberFormat="1" applyFont="1" applyFill="1" applyBorder="1" applyAlignment="1" applyProtection="1">
      <alignment horizontal="right" indent="3"/>
      <protection locked="0"/>
    </xf>
    <xf numFmtId="0" fontId="8" fillId="2" borderId="1" xfId="0" applyFont="1" applyFill="1" applyBorder="1"/>
    <xf numFmtId="7" fontId="22" fillId="3" borderId="1" xfId="0" applyNumberFormat="1" applyFont="1" applyFill="1" applyBorder="1"/>
    <xf numFmtId="0" fontId="27" fillId="3" borderId="0" xfId="0" applyFont="1" applyFill="1" applyBorder="1"/>
    <xf numFmtId="0" fontId="27" fillId="3" borderId="0" xfId="0" applyFont="1" applyFill="1"/>
    <xf numFmtId="164" fontId="22" fillId="3" borderId="0" xfId="0" applyNumberFormat="1" applyFont="1" applyFill="1" applyAlignment="1">
      <alignment horizontal="right" vertical="top" wrapText="1"/>
    </xf>
    <xf numFmtId="164" fontId="17" fillId="3" borderId="0" xfId="0" applyNumberFormat="1" applyFont="1" applyFill="1" applyAlignment="1">
      <alignment horizontal="right"/>
    </xf>
    <xf numFmtId="164" fontId="20" fillId="3" borderId="0" xfId="0" applyNumberFormat="1" applyFont="1" applyFill="1" applyAlignment="1">
      <alignment horizontal="right"/>
    </xf>
    <xf numFmtId="164" fontId="21" fillId="3" borderId="0" xfId="0" applyNumberFormat="1" applyFont="1" applyFill="1" applyAlignment="1">
      <alignment horizontal="right"/>
    </xf>
    <xf numFmtId="164" fontId="22" fillId="3" borderId="0" xfId="0" applyNumberFormat="1" applyFont="1" applyFill="1" applyAlignment="1">
      <alignment horizontal="right"/>
    </xf>
    <xf numFmtId="164" fontId="18" fillId="3" borderId="0" xfId="0" applyNumberFormat="1" applyFont="1" applyFill="1" applyAlignment="1">
      <alignment horizontal="right"/>
    </xf>
    <xf numFmtId="164" fontId="17" fillId="3" borderId="0" xfId="0" applyNumberFormat="1" applyFont="1" applyFill="1" applyAlignment="1">
      <alignment horizontal="left" wrapText="1"/>
    </xf>
    <xf numFmtId="164" fontId="17" fillId="3" borderId="0" xfId="0" applyNumberFormat="1" applyFont="1" applyFill="1" applyAlignment="1">
      <alignment horizontal="right" vertical="top" wrapText="1"/>
    </xf>
    <xf numFmtId="164" fontId="1" fillId="3" borderId="0" xfId="0" applyNumberFormat="1" applyFont="1" applyFill="1" applyAlignment="1">
      <alignment horizontal="right"/>
    </xf>
    <xf numFmtId="164" fontId="17" fillId="3" borderId="0" xfId="0" applyNumberFormat="1" applyFont="1" applyFill="1" applyAlignment="1">
      <alignment horizontal="right" wrapText="1"/>
    </xf>
    <xf numFmtId="0" fontId="22" fillId="3" borderId="0" xfId="0" applyFont="1" applyFill="1" applyAlignment="1">
      <alignment horizontal="left"/>
    </xf>
    <xf numFmtId="0" fontId="22" fillId="3" borderId="1" xfId="0" applyFont="1" applyFill="1" applyBorder="1" applyAlignment="1">
      <alignment horizontal="left"/>
    </xf>
    <xf numFmtId="0" fontId="17" fillId="3" borderId="7" xfId="0" applyFont="1" applyFill="1" applyBorder="1" applyAlignment="1">
      <alignment horizontal="left"/>
    </xf>
    <xf numFmtId="0" fontId="17" fillId="3" borderId="6" xfId="0" applyFont="1" applyFill="1" applyBorder="1" applyAlignment="1">
      <alignment horizontal="left"/>
    </xf>
    <xf numFmtId="0" fontId="17" fillId="3" borderId="0" xfId="0" applyFont="1" applyFill="1" applyBorder="1" applyAlignment="1"/>
    <xf numFmtId="43" fontId="22" fillId="3" borderId="0" xfId="0" applyNumberFormat="1" applyFont="1" applyFill="1" applyBorder="1"/>
    <xf numFmtId="3" fontId="22" fillId="3" borderId="1" xfId="0" applyNumberFormat="1" applyFont="1" applyFill="1" applyBorder="1" applyAlignment="1">
      <alignment horizontal="center"/>
    </xf>
    <xf numFmtId="0" fontId="27" fillId="3" borderId="1" xfId="0" applyFont="1" applyFill="1" applyBorder="1"/>
    <xf numFmtId="166" fontId="26" fillId="3" borderId="0" xfId="1" applyNumberFormat="1" applyFont="1" applyFill="1" applyBorder="1" applyAlignment="1">
      <alignment horizontal="left"/>
    </xf>
    <xf numFmtId="166" fontId="26" fillId="3" borderId="1" xfId="1" applyNumberFormat="1" applyFont="1" applyFill="1" applyBorder="1" applyAlignment="1">
      <alignment horizontal="left"/>
    </xf>
    <xf numFmtId="0" fontId="2" fillId="3" borderId="0" xfId="0" applyFont="1" applyFill="1" applyBorder="1" applyAlignment="1">
      <alignment wrapText="1"/>
    </xf>
    <xf numFmtId="0" fontId="10" fillId="2" borderId="0" xfId="0" applyFont="1" applyFill="1" applyAlignment="1">
      <alignment vertical="top" wrapText="1"/>
    </xf>
    <xf numFmtId="0" fontId="17" fillId="3" borderId="0" xfId="0" applyFont="1" applyFill="1" applyAlignment="1">
      <alignment horizontal="left" wrapText="1" indent="1"/>
    </xf>
    <xf numFmtId="165" fontId="1" fillId="2" borderId="0" xfId="0" applyNumberFormat="1" applyFont="1" applyFill="1" applyAlignment="1">
      <alignment horizontal="right" vertical="center" indent="3"/>
    </xf>
    <xf numFmtId="0" fontId="1" fillId="2" borderId="1" xfId="0" applyFont="1" applyFill="1" applyBorder="1"/>
    <xf numFmtId="165" fontId="1" fillId="2" borderId="1" xfId="0" applyNumberFormat="1" applyFont="1" applyFill="1" applyBorder="1" applyAlignment="1">
      <alignment horizontal="right" vertical="center" indent="3"/>
    </xf>
    <xf numFmtId="165" fontId="5" fillId="2" borderId="0" xfId="0" applyNumberFormat="1" applyFont="1" applyFill="1" applyBorder="1" applyAlignment="1">
      <alignment horizontal="right" vertical="center" indent="3"/>
    </xf>
    <xf numFmtId="0" fontId="5" fillId="2" borderId="0" xfId="0" applyFont="1" applyFill="1" applyBorder="1" applyAlignment="1">
      <alignment horizontal="left"/>
    </xf>
    <xf numFmtId="165" fontId="22" fillId="2" borderId="1" xfId="0" applyNumberFormat="1" applyFont="1" applyFill="1" applyBorder="1" applyAlignment="1" applyProtection="1">
      <alignment horizontal="right" vertical="center" indent="3"/>
      <protection locked="0"/>
    </xf>
    <xf numFmtId="165" fontId="22" fillId="2" borderId="0" xfId="0" applyNumberFormat="1" applyFont="1" applyFill="1" applyBorder="1" applyAlignment="1" applyProtection="1">
      <alignment horizontal="right" vertical="center" indent="3"/>
      <protection locked="0"/>
    </xf>
    <xf numFmtId="164" fontId="17" fillId="3" borderId="0" xfId="0" applyNumberFormat="1" applyFont="1" applyFill="1" applyAlignment="1">
      <alignment horizontal="left"/>
    </xf>
    <xf numFmtId="0" fontId="17" fillId="3" borderId="0" xfId="0" applyFont="1" applyFill="1" applyBorder="1" applyAlignment="1">
      <alignment horizontal="right"/>
    </xf>
    <xf numFmtId="0" fontId="17" fillId="0" borderId="0" xfId="0" applyFont="1" applyFill="1"/>
    <xf numFmtId="164" fontId="17" fillId="3" borderId="0" xfId="0" applyNumberFormat="1" applyFont="1" applyFill="1"/>
    <xf numFmtId="164" fontId="5" fillId="2" borderId="0" xfId="0" applyNumberFormat="1" applyFont="1" applyFill="1" applyBorder="1" applyAlignment="1">
      <alignment horizontal="right" vertical="center" indent="3"/>
    </xf>
    <xf numFmtId="165" fontId="22" fillId="2" borderId="3" xfId="0" applyNumberFormat="1" applyFont="1" applyFill="1" applyBorder="1" applyAlignment="1">
      <alignment horizontal="right" vertical="center" indent="3"/>
    </xf>
    <xf numFmtId="0" fontId="29" fillId="2" borderId="0" xfId="0" applyFont="1" applyFill="1" applyAlignment="1">
      <alignment horizontal="left" indent="1"/>
    </xf>
    <xf numFmtId="165" fontId="30" fillId="2" borderId="0" xfId="0" applyNumberFormat="1" applyFont="1" applyFill="1" applyAlignment="1" applyProtection="1">
      <alignment horizontal="right" vertical="center" indent="3"/>
      <protection locked="0"/>
    </xf>
    <xf numFmtId="0" fontId="29" fillId="2" borderId="0" xfId="0" applyFont="1" applyFill="1" applyBorder="1" applyAlignment="1">
      <alignment horizontal="left" indent="1"/>
    </xf>
    <xf numFmtId="0" fontId="1" fillId="2" borderId="0" xfId="0" applyFont="1" applyFill="1" applyAlignment="1">
      <alignment horizontal="left" indent="1"/>
    </xf>
    <xf numFmtId="2" fontId="1" fillId="3" borderId="0" xfId="0" applyNumberFormat="1" applyFont="1" applyFill="1"/>
    <xf numFmtId="2" fontId="22" fillId="3" borderId="0" xfId="0" applyNumberFormat="1" applyFont="1" applyFill="1" applyAlignment="1">
      <alignment horizontal="right" vertical="top" wrapText="1"/>
    </xf>
    <xf numFmtId="0" fontId="17" fillId="3" borderId="0" xfId="0" applyFont="1" applyFill="1" applyAlignment="1">
      <alignment horizontal="right" vertical="top" wrapText="1"/>
    </xf>
    <xf numFmtId="0" fontId="2" fillId="2" borderId="0" xfId="0" applyFont="1" applyFill="1" applyBorder="1" applyAlignment="1">
      <alignment wrapText="1"/>
    </xf>
    <xf numFmtId="164" fontId="17" fillId="3" borderId="0" xfId="0" applyNumberFormat="1" applyFont="1" applyFill="1" applyBorder="1" applyAlignment="1"/>
    <xf numFmtId="164" fontId="17" fillId="3" borderId="1" xfId="0" applyNumberFormat="1" applyFont="1" applyFill="1" applyBorder="1" applyAlignment="1"/>
    <xf numFmtId="164" fontId="17" fillId="3" borderId="4" xfId="0" applyNumberFormat="1" applyFont="1" applyFill="1" applyBorder="1" applyAlignment="1"/>
    <xf numFmtId="0" fontId="2" fillId="3" borderId="0" xfId="0" applyFont="1" applyFill="1" applyBorder="1" applyAlignment="1">
      <alignment horizontal="left" wrapText="1"/>
    </xf>
    <xf numFmtId="0" fontId="1" fillId="3" borderId="0" xfId="0" applyFont="1" applyFill="1" applyAlignment="1">
      <alignment vertical="top" wrapText="1"/>
    </xf>
    <xf numFmtId="0" fontId="0" fillId="0" borderId="0" xfId="0" applyAlignment="1">
      <alignment wrapText="1"/>
    </xf>
    <xf numFmtId="0" fontId="1" fillId="3" borderId="0" xfId="0" applyFont="1" applyFill="1" applyAlignment="1">
      <alignment horizontal="left" vertical="top" wrapText="1"/>
    </xf>
    <xf numFmtId="0" fontId="2" fillId="3" borderId="1" xfId="0" applyFont="1" applyFill="1" applyBorder="1" applyAlignment="1">
      <alignment horizontal="left"/>
    </xf>
    <xf numFmtId="0" fontId="0" fillId="0" borderId="0" xfId="0" applyAlignment="1">
      <alignment horizontal="left" vertical="top" wrapText="1"/>
    </xf>
    <xf numFmtId="0" fontId="5" fillId="3" borderId="0" xfId="0" applyFont="1" applyFill="1" applyAlignment="1">
      <alignment horizontal="left" vertical="top" wrapText="1"/>
    </xf>
    <xf numFmtId="0" fontId="0" fillId="3" borderId="0" xfId="0" applyFill="1" applyAlignment="1">
      <alignment horizontal="left" vertical="top" wrapText="1"/>
    </xf>
    <xf numFmtId="0" fontId="17" fillId="3" borderId="1" xfId="0" applyFont="1" applyFill="1" applyBorder="1" applyAlignment="1">
      <alignment horizontal="center"/>
    </xf>
    <xf numFmtId="0" fontId="23" fillId="3" borderId="1" xfId="0" applyFont="1" applyFill="1" applyBorder="1" applyAlignment="1">
      <alignment horizontal="left" wrapText="1"/>
    </xf>
    <xf numFmtId="0" fontId="17" fillId="3" borderId="4" xfId="0" applyFont="1" applyFill="1" applyBorder="1" applyAlignment="1">
      <alignment horizontal="center" wrapText="1"/>
    </xf>
    <xf numFmtId="0" fontId="17" fillId="3" borderId="1" xfId="0" applyFont="1" applyFill="1" applyBorder="1" applyAlignment="1">
      <alignment horizontal="center" wrapText="1"/>
    </xf>
    <xf numFmtId="0" fontId="2" fillId="3" borderId="1" xfId="0" applyFont="1" applyFill="1" applyBorder="1" applyAlignment="1">
      <alignment horizontal="left" wrapText="1"/>
    </xf>
    <xf numFmtId="0" fontId="11" fillId="2" borderId="1" xfId="0" applyFont="1" applyFill="1" applyBorder="1" applyAlignment="1">
      <alignment horizontal="left" wrapText="1"/>
    </xf>
    <xf numFmtId="0" fontId="10" fillId="2" borderId="4" xfId="0" applyFont="1" applyFill="1" applyBorder="1" applyAlignment="1">
      <alignment horizontal="left" vertical="top" wrapText="1"/>
    </xf>
    <xf numFmtId="0" fontId="10" fillId="2" borderId="0" xfId="0" applyFont="1" applyFill="1" applyAlignment="1">
      <alignment horizontal="left" vertical="top" wrapText="1"/>
    </xf>
    <xf numFmtId="0" fontId="2" fillId="2" borderId="1" xfId="0" applyFont="1" applyFill="1" applyBorder="1" applyAlignment="1">
      <alignment horizontal="left" wrapText="1"/>
    </xf>
    <xf numFmtId="0" fontId="32" fillId="2" borderId="0" xfId="0" applyFont="1" applyFill="1"/>
  </cellXfs>
  <cellStyles count="3">
    <cellStyle name="Normal" xfId="0" builtinId="0"/>
    <cellStyle name="Percent" xfId="1" builtinId="5"/>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2:N28"/>
  <sheetViews>
    <sheetView tabSelected="1" zoomScaleNormal="100" workbookViewId="0">
      <selection activeCell="B2" sqref="B2:N2"/>
    </sheetView>
  </sheetViews>
  <sheetFormatPr defaultRowHeight="15"/>
  <cols>
    <col min="1" max="2" width="9.140625" style="44"/>
    <col min="3" max="3" width="26.28515625" style="44" customWidth="1"/>
    <col min="4" max="4" width="2.28515625" style="44" customWidth="1"/>
    <col min="5" max="16384" width="9.140625" style="44"/>
  </cols>
  <sheetData>
    <row r="2" spans="2:14" ht="18.75" customHeight="1">
      <c r="B2" s="146" t="s">
        <v>167</v>
      </c>
      <c r="C2" s="146"/>
      <c r="D2" s="146"/>
      <c r="E2" s="146"/>
      <c r="F2" s="146"/>
      <c r="G2" s="146"/>
      <c r="H2" s="146"/>
      <c r="I2" s="146"/>
      <c r="J2" s="146"/>
      <c r="K2" s="146"/>
      <c r="L2" s="146"/>
      <c r="M2" s="146"/>
      <c r="N2" s="146"/>
    </row>
    <row r="3" spans="2:14" ht="15" customHeight="1">
      <c r="B3" s="163" t="s">
        <v>165</v>
      </c>
    </row>
    <row r="4" spans="2:14" ht="15" customHeight="1">
      <c r="B4" s="56"/>
    </row>
    <row r="5" spans="2:14">
      <c r="B5" s="57" t="s">
        <v>0</v>
      </c>
    </row>
    <row r="6" spans="2:14" ht="48" customHeight="1">
      <c r="B6" s="58" t="s">
        <v>1</v>
      </c>
      <c r="C6" s="152" t="s">
        <v>117</v>
      </c>
      <c r="D6" s="152"/>
      <c r="E6" s="152"/>
      <c r="F6" s="152"/>
      <c r="G6" s="152"/>
      <c r="H6" s="152"/>
      <c r="I6" s="152"/>
      <c r="J6" s="152"/>
      <c r="K6" s="153"/>
    </row>
    <row r="7" spans="2:14">
      <c r="B7" s="59" t="s">
        <v>2</v>
      </c>
      <c r="C7" s="44" t="s">
        <v>3</v>
      </c>
    </row>
    <row r="9" spans="2:14">
      <c r="B9" s="57" t="s">
        <v>4</v>
      </c>
    </row>
    <row r="10" spans="2:14" ht="61.5" customHeight="1">
      <c r="B10" s="60" t="s">
        <v>1</v>
      </c>
      <c r="C10" s="149" t="s">
        <v>154</v>
      </c>
      <c r="D10" s="151"/>
      <c r="E10" s="151"/>
      <c r="F10" s="151"/>
      <c r="G10" s="151"/>
      <c r="H10" s="151"/>
      <c r="I10" s="151"/>
      <c r="J10" s="151"/>
      <c r="K10" s="151"/>
    </row>
    <row r="11" spans="2:14" ht="31.5" customHeight="1">
      <c r="B11" s="60" t="s">
        <v>2</v>
      </c>
      <c r="C11" s="149" t="s">
        <v>166</v>
      </c>
      <c r="D11" s="151"/>
      <c r="E11" s="151"/>
      <c r="F11" s="151"/>
      <c r="G11" s="151"/>
      <c r="H11" s="151"/>
      <c r="I11" s="151"/>
      <c r="J11" s="151"/>
      <c r="K11" s="151"/>
    </row>
    <row r="12" spans="2:14" ht="45" customHeight="1">
      <c r="B12" s="60" t="s">
        <v>5</v>
      </c>
      <c r="C12" s="149" t="s">
        <v>168</v>
      </c>
      <c r="D12" s="151"/>
      <c r="E12" s="151"/>
      <c r="F12" s="151"/>
      <c r="G12" s="151"/>
      <c r="H12" s="151"/>
      <c r="I12" s="151"/>
      <c r="J12" s="151"/>
      <c r="K12" s="151"/>
    </row>
    <row r="13" spans="2:14" ht="48" customHeight="1">
      <c r="B13" s="60" t="s">
        <v>6</v>
      </c>
      <c r="C13" s="147" t="s">
        <v>169</v>
      </c>
      <c r="D13" s="148"/>
      <c r="E13" s="148"/>
      <c r="F13" s="148"/>
      <c r="G13" s="148"/>
      <c r="H13" s="148"/>
      <c r="I13" s="148"/>
      <c r="J13" s="148"/>
      <c r="K13" s="148"/>
    </row>
    <row r="14" spans="2:14" ht="34.5" customHeight="1">
      <c r="B14" s="60" t="s">
        <v>7</v>
      </c>
      <c r="C14" s="149" t="s">
        <v>99</v>
      </c>
      <c r="D14" s="149"/>
      <c r="E14" s="149"/>
      <c r="F14" s="149"/>
      <c r="G14" s="149"/>
      <c r="H14" s="149"/>
      <c r="I14" s="149"/>
      <c r="J14" s="149"/>
      <c r="K14" s="149"/>
    </row>
    <row r="15" spans="2:14" ht="48.75" customHeight="1">
      <c r="B15" s="60" t="s">
        <v>8</v>
      </c>
      <c r="C15" s="149" t="s">
        <v>155</v>
      </c>
      <c r="D15" s="149"/>
      <c r="E15" s="149"/>
      <c r="F15" s="149"/>
      <c r="G15" s="149"/>
      <c r="H15" s="149"/>
      <c r="I15" s="149"/>
      <c r="J15" s="149"/>
      <c r="K15" s="149"/>
      <c r="M15" s="139"/>
    </row>
    <row r="16" spans="2:14" ht="46.5" customHeight="1">
      <c r="B16" s="60" t="s">
        <v>9</v>
      </c>
      <c r="C16" s="149" t="s">
        <v>153</v>
      </c>
      <c r="D16" s="149"/>
      <c r="E16" s="149"/>
      <c r="F16" s="149"/>
      <c r="G16" s="149"/>
      <c r="H16" s="149"/>
      <c r="I16" s="149"/>
      <c r="J16" s="149"/>
      <c r="K16" s="149"/>
    </row>
    <row r="17" spans="2:11" ht="15" customHeight="1">
      <c r="B17" s="60" t="s">
        <v>85</v>
      </c>
      <c r="C17" s="149" t="s">
        <v>110</v>
      </c>
      <c r="D17" s="149"/>
      <c r="E17" s="149"/>
      <c r="F17" s="149"/>
      <c r="G17" s="149"/>
      <c r="H17" s="149"/>
      <c r="I17" s="149"/>
      <c r="J17" s="149"/>
      <c r="K17" s="149"/>
    </row>
    <row r="18" spans="2:11">
      <c r="B18" s="59"/>
      <c r="C18" s="61"/>
    </row>
    <row r="19" spans="2:11" ht="18.75">
      <c r="C19" s="150" t="s">
        <v>163</v>
      </c>
      <c r="D19" s="150"/>
      <c r="E19" s="150"/>
      <c r="F19" s="150"/>
      <c r="G19" s="150"/>
      <c r="H19" s="150"/>
      <c r="I19" s="150"/>
      <c r="J19" s="150"/>
      <c r="K19" s="150"/>
    </row>
    <row r="20" spans="2:11" ht="15" customHeight="1">
      <c r="C20" s="62" t="s">
        <v>126</v>
      </c>
      <c r="D20" s="63"/>
      <c r="E20" s="61" t="s">
        <v>127</v>
      </c>
      <c r="F20" s="63"/>
      <c r="G20" s="63"/>
      <c r="H20" s="63"/>
      <c r="I20" s="63"/>
      <c r="J20" s="63"/>
      <c r="K20" s="63"/>
    </row>
    <row r="21" spans="2:11" ht="15" customHeight="1">
      <c r="C21" s="62" t="s">
        <v>52</v>
      </c>
      <c r="D21" s="63"/>
      <c r="E21" s="61" t="s">
        <v>51</v>
      </c>
      <c r="F21" s="63"/>
      <c r="G21" s="63"/>
      <c r="H21" s="63"/>
      <c r="I21" s="63"/>
      <c r="J21" s="63"/>
      <c r="K21" s="63"/>
    </row>
    <row r="22" spans="2:11" ht="15" customHeight="1">
      <c r="C22" s="57" t="s">
        <v>88</v>
      </c>
      <c r="E22" s="61" t="s">
        <v>89</v>
      </c>
    </row>
    <row r="23" spans="2:11" ht="15" customHeight="1">
      <c r="C23" s="57" t="s">
        <v>116</v>
      </c>
      <c r="E23" s="61" t="s">
        <v>114</v>
      </c>
    </row>
    <row r="24" spans="2:11" ht="15" customHeight="1">
      <c r="C24" s="57" t="s">
        <v>111</v>
      </c>
      <c r="E24" s="61" t="s">
        <v>89</v>
      </c>
    </row>
    <row r="25" spans="2:11" ht="15" customHeight="1">
      <c r="C25" s="62" t="s">
        <v>106</v>
      </c>
      <c r="D25" s="63"/>
      <c r="E25" s="61" t="s">
        <v>107</v>
      </c>
      <c r="F25" s="63"/>
      <c r="G25" s="63"/>
      <c r="H25" s="63"/>
      <c r="I25" s="63"/>
      <c r="J25" s="63"/>
      <c r="K25" s="63"/>
    </row>
    <row r="26" spans="2:11" ht="15" customHeight="1">
      <c r="C26" s="57" t="s">
        <v>47</v>
      </c>
      <c r="E26" s="109" t="s">
        <v>125</v>
      </c>
    </row>
    <row r="27" spans="2:11" ht="15" customHeight="1">
      <c r="C27" s="65" t="s">
        <v>108</v>
      </c>
      <c r="D27" s="66"/>
      <c r="E27" s="110" t="s">
        <v>109</v>
      </c>
      <c r="F27" s="66"/>
      <c r="G27" s="66"/>
      <c r="H27" s="66"/>
      <c r="I27" s="66"/>
      <c r="J27" s="66"/>
      <c r="K27" s="66"/>
    </row>
    <row r="28" spans="2:11">
      <c r="C28" s="67"/>
      <c r="D28" s="68"/>
      <c r="E28" s="69"/>
      <c r="F28" s="69"/>
      <c r="G28" s="69"/>
      <c r="H28" s="69"/>
      <c r="I28" s="69"/>
      <c r="J28" s="69"/>
    </row>
  </sheetData>
  <sheetProtection password="DF21" sheet="1" objects="1" scenarios="1"/>
  <protectedRanges>
    <protectedRange sqref="E20:E27" name="Range1"/>
  </protectedRanges>
  <mergeCells count="11">
    <mergeCell ref="B2:N2"/>
    <mergeCell ref="C13:K13"/>
    <mergeCell ref="C16:K16"/>
    <mergeCell ref="C17:K17"/>
    <mergeCell ref="C19:K19"/>
    <mergeCell ref="C12:K12"/>
    <mergeCell ref="C14:K14"/>
    <mergeCell ref="C15:K15"/>
    <mergeCell ref="C6:K6"/>
    <mergeCell ref="C10:K10"/>
    <mergeCell ref="C11:K11"/>
  </mergeCells>
  <pageMargins left="0.7" right="0.7" top="0.75" bottom="0.75" header="0.3" footer="0.3"/>
  <ignoredErrors>
    <ignoredError sqref="B6 B12:B17 B7:B11" numberStoredAsText="1"/>
  </ignoredErrors>
</worksheet>
</file>

<file path=xl/worksheets/sheet2.xml><?xml version="1.0" encoding="utf-8"?>
<worksheet xmlns="http://schemas.openxmlformats.org/spreadsheetml/2006/main" xmlns:r="http://schemas.openxmlformats.org/officeDocument/2006/relationships">
  <dimension ref="B2:N78"/>
  <sheetViews>
    <sheetView zoomScale="80" zoomScaleNormal="80" workbookViewId="0">
      <selection activeCell="B1" sqref="B1"/>
    </sheetView>
  </sheetViews>
  <sheetFormatPr defaultRowHeight="15"/>
  <cols>
    <col min="1" max="1" width="9.140625" style="27"/>
    <col min="2" max="2" width="39.7109375" style="27" customWidth="1"/>
    <col min="3" max="3" width="14" style="32" customWidth="1"/>
    <col min="4" max="4" width="10.85546875" style="33" customWidth="1"/>
    <col min="5" max="5" width="10.5703125" style="33" customWidth="1"/>
    <col min="6" max="6" width="13.140625" style="33" customWidth="1"/>
    <col min="7" max="7" width="4.28515625" style="33" customWidth="1"/>
    <col min="8" max="8" width="67.140625" style="32" customWidth="1"/>
    <col min="9" max="9" width="2.42578125" style="32" customWidth="1"/>
    <col min="10" max="10" width="3.42578125" style="32" customWidth="1"/>
    <col min="11" max="11" width="15" style="32" customWidth="1"/>
    <col min="12" max="13" width="9.140625" style="27"/>
    <col min="14" max="14" width="9.85546875" style="27" bestFit="1" customWidth="1"/>
    <col min="15" max="16384" width="9.140625" style="27"/>
  </cols>
  <sheetData>
    <row r="2" spans="2:12" ht="18.75">
      <c r="B2" s="150" t="s">
        <v>170</v>
      </c>
      <c r="C2" s="150"/>
      <c r="D2" s="150"/>
      <c r="E2" s="150"/>
      <c r="F2" s="150"/>
      <c r="G2" s="150"/>
      <c r="H2" s="150"/>
      <c r="I2" s="150"/>
      <c r="J2" s="150"/>
      <c r="K2" s="150"/>
      <c r="L2" s="150"/>
    </row>
    <row r="3" spans="2:12">
      <c r="B3" s="28" t="s">
        <v>34</v>
      </c>
      <c r="C3" s="40" t="s">
        <v>32</v>
      </c>
      <c r="D3" s="41" t="s">
        <v>38</v>
      </c>
      <c r="E3" s="41" t="s">
        <v>31</v>
      </c>
      <c r="F3" s="41" t="s">
        <v>33</v>
      </c>
      <c r="G3" s="41"/>
      <c r="H3" s="40" t="s">
        <v>40</v>
      </c>
      <c r="I3" s="40"/>
      <c r="J3" s="40"/>
      <c r="K3" s="40" t="s">
        <v>36</v>
      </c>
    </row>
    <row r="4" spans="2:12" s="72" customFormat="1" ht="33" customHeight="1">
      <c r="B4" s="72" t="s">
        <v>30</v>
      </c>
      <c r="C4" s="54" t="s">
        <v>43</v>
      </c>
      <c r="D4" s="99">
        <v>3</v>
      </c>
      <c r="E4" s="81">
        <f>9*480</f>
        <v>4320</v>
      </c>
      <c r="F4" s="106">
        <f>D4*E4</f>
        <v>12960</v>
      </c>
      <c r="G4" s="82"/>
      <c r="H4" s="72" t="s">
        <v>147</v>
      </c>
      <c r="I4" s="54"/>
      <c r="J4" s="54"/>
      <c r="K4" s="83"/>
    </row>
    <row r="5" spans="2:12">
      <c r="D5" s="100"/>
      <c r="F5" s="100"/>
    </row>
    <row r="6" spans="2:12" s="28" customFormat="1" ht="14.25">
      <c r="B6" s="28" t="s">
        <v>35</v>
      </c>
      <c r="C6" s="40" t="s">
        <v>32</v>
      </c>
      <c r="D6" s="101" t="s">
        <v>39</v>
      </c>
      <c r="E6" s="41" t="s">
        <v>31</v>
      </c>
      <c r="F6" s="101" t="s">
        <v>44</v>
      </c>
      <c r="G6" s="41"/>
      <c r="H6" s="40" t="s">
        <v>40</v>
      </c>
      <c r="I6" s="40"/>
      <c r="J6" s="40"/>
      <c r="K6" s="40" t="s">
        <v>37</v>
      </c>
    </row>
    <row r="7" spans="2:12">
      <c r="B7" s="34" t="s">
        <v>53</v>
      </c>
      <c r="D7" s="102"/>
      <c r="E7" s="43"/>
      <c r="F7" s="100"/>
    </row>
    <row r="8" spans="2:12">
      <c r="B8" s="35" t="s">
        <v>58</v>
      </c>
      <c r="D8" s="102"/>
      <c r="E8" s="43"/>
      <c r="F8" s="100"/>
      <c r="K8" s="49"/>
    </row>
    <row r="9" spans="2:12">
      <c r="B9" s="29" t="s">
        <v>54</v>
      </c>
      <c r="C9" s="32" t="s">
        <v>55</v>
      </c>
      <c r="D9" s="103">
        <v>10</v>
      </c>
      <c r="E9" s="73">
        <v>5.5</v>
      </c>
      <c r="F9" s="100">
        <f>D9*E9</f>
        <v>55</v>
      </c>
      <c r="K9" s="49"/>
    </row>
    <row r="10" spans="2:12">
      <c r="B10" s="29" t="s">
        <v>28</v>
      </c>
      <c r="C10" s="32" t="s">
        <v>29</v>
      </c>
      <c r="D10" s="103">
        <v>165</v>
      </c>
      <c r="E10" s="73">
        <v>0.33</v>
      </c>
      <c r="F10" s="100">
        <f>D10*E10</f>
        <v>54.45</v>
      </c>
      <c r="K10" s="49"/>
    </row>
    <row r="11" spans="2:12">
      <c r="B11" s="71" t="s">
        <v>59</v>
      </c>
      <c r="C11" s="32" t="s">
        <v>29</v>
      </c>
      <c r="D11" s="103">
        <v>165</v>
      </c>
      <c r="E11" s="73">
        <v>0.33</v>
      </c>
      <c r="F11" s="100">
        <f>D11*E11</f>
        <v>54.45</v>
      </c>
      <c r="K11" s="49"/>
    </row>
    <row r="12" spans="2:12">
      <c r="B12" s="71" t="s">
        <v>56</v>
      </c>
      <c r="C12" s="32" t="s">
        <v>29</v>
      </c>
      <c r="D12" s="103">
        <v>165</v>
      </c>
      <c r="E12" s="73">
        <v>0.33</v>
      </c>
      <c r="F12" s="100">
        <f t="shared" ref="F12:F22" si="0">D12*E12</f>
        <v>54.45</v>
      </c>
      <c r="K12" s="49"/>
    </row>
    <row r="13" spans="2:12">
      <c r="B13" s="71" t="s">
        <v>57</v>
      </c>
      <c r="C13" s="32" t="s">
        <v>29</v>
      </c>
      <c r="D13" s="103">
        <v>165</v>
      </c>
      <c r="E13" s="73">
        <v>0.33</v>
      </c>
      <c r="F13" s="100">
        <f t="shared" si="0"/>
        <v>54.45</v>
      </c>
      <c r="K13" s="49"/>
    </row>
    <row r="14" spans="2:12">
      <c r="B14" s="71" t="s">
        <v>27</v>
      </c>
      <c r="D14" s="103"/>
      <c r="E14" s="73"/>
      <c r="F14" s="100"/>
      <c r="K14" s="49"/>
    </row>
    <row r="15" spans="2:12">
      <c r="B15" s="29" t="s">
        <v>54</v>
      </c>
      <c r="C15" s="32" t="s">
        <v>100</v>
      </c>
      <c r="D15" s="103">
        <v>30</v>
      </c>
      <c r="E15" s="73">
        <v>12</v>
      </c>
      <c r="F15" s="100">
        <f>D15*E15</f>
        <v>360</v>
      </c>
      <c r="H15" s="32" t="s">
        <v>101</v>
      </c>
      <c r="K15" s="49"/>
    </row>
    <row r="16" spans="2:12">
      <c r="B16" s="29" t="s">
        <v>28</v>
      </c>
      <c r="C16" s="32" t="s">
        <v>29</v>
      </c>
      <c r="D16" s="103">
        <v>14.75</v>
      </c>
      <c r="E16" s="73">
        <v>3.3</v>
      </c>
      <c r="F16" s="100">
        <f>D16*E16</f>
        <v>48.674999999999997</v>
      </c>
      <c r="K16" s="49"/>
    </row>
    <row r="17" spans="2:11">
      <c r="B17" s="36" t="s">
        <v>60</v>
      </c>
      <c r="D17" s="103"/>
      <c r="E17" s="73"/>
      <c r="F17" s="100"/>
    </row>
    <row r="18" spans="2:11">
      <c r="B18" s="35" t="s">
        <v>61</v>
      </c>
      <c r="C18" s="32" t="s">
        <v>90</v>
      </c>
      <c r="D18" s="103">
        <v>8.75</v>
      </c>
      <c r="E18" s="73">
        <v>1.4</v>
      </c>
      <c r="F18" s="100">
        <f t="shared" si="0"/>
        <v>12.25</v>
      </c>
      <c r="H18" s="32" t="s">
        <v>93</v>
      </c>
      <c r="K18" s="49"/>
    </row>
    <row r="19" spans="2:11">
      <c r="B19" s="35" t="s">
        <v>62</v>
      </c>
      <c r="D19" s="103"/>
      <c r="E19" s="73"/>
      <c r="F19" s="100"/>
      <c r="K19" s="49"/>
    </row>
    <row r="20" spans="2:11">
      <c r="B20" s="29" t="s">
        <v>54</v>
      </c>
      <c r="C20" s="32" t="s">
        <v>64</v>
      </c>
      <c r="D20" s="103">
        <v>0.18</v>
      </c>
      <c r="E20" s="73">
        <v>500</v>
      </c>
      <c r="F20" s="100">
        <f t="shared" si="0"/>
        <v>90</v>
      </c>
      <c r="K20" s="49"/>
    </row>
    <row r="21" spans="2:11">
      <c r="B21" s="29" t="s">
        <v>28</v>
      </c>
      <c r="C21" s="32" t="s">
        <v>29</v>
      </c>
      <c r="D21" s="103">
        <v>14.75</v>
      </c>
      <c r="E21" s="73">
        <v>1.5</v>
      </c>
      <c r="F21" s="100">
        <f t="shared" si="0"/>
        <v>22.125</v>
      </c>
      <c r="K21" s="49"/>
    </row>
    <row r="22" spans="2:11">
      <c r="B22" s="35" t="s">
        <v>63</v>
      </c>
      <c r="C22" s="32" t="s">
        <v>29</v>
      </c>
      <c r="D22" s="103">
        <v>14.75</v>
      </c>
      <c r="E22" s="73">
        <v>8</v>
      </c>
      <c r="F22" s="107">
        <f t="shared" si="0"/>
        <v>118</v>
      </c>
      <c r="G22" s="87"/>
      <c r="H22" s="64" t="s">
        <v>94</v>
      </c>
      <c r="K22" s="49"/>
    </row>
    <row r="23" spans="2:11">
      <c r="B23" s="36" t="s">
        <v>65</v>
      </c>
      <c r="D23" s="103"/>
      <c r="E23" s="73"/>
      <c r="F23" s="100"/>
    </row>
    <row r="24" spans="2:11">
      <c r="B24" s="29" t="s">
        <v>66</v>
      </c>
      <c r="D24" s="103"/>
      <c r="E24" s="73"/>
      <c r="F24" s="103">
        <v>0</v>
      </c>
    </row>
    <row r="25" spans="2:11">
      <c r="B25" s="29" t="s">
        <v>68</v>
      </c>
      <c r="D25" s="103"/>
      <c r="E25" s="73"/>
      <c r="F25" s="103">
        <f t="shared" ref="F25:F30" si="1">D25*E25</f>
        <v>0</v>
      </c>
      <c r="H25" s="32" t="s">
        <v>129</v>
      </c>
    </row>
    <row r="26" spans="2:11">
      <c r="B26" s="29" t="s">
        <v>67</v>
      </c>
      <c r="D26" s="103"/>
      <c r="E26" s="73"/>
      <c r="F26" s="103">
        <f t="shared" si="1"/>
        <v>0</v>
      </c>
      <c r="H26" s="32" t="s">
        <v>84</v>
      </c>
    </row>
    <row r="27" spans="2:11" ht="18">
      <c r="B27" s="29" t="s">
        <v>120</v>
      </c>
      <c r="D27" s="100"/>
      <c r="F27" s="103">
        <v>50</v>
      </c>
      <c r="K27" s="49"/>
    </row>
    <row r="28" spans="2:11">
      <c r="B28" s="88" t="s">
        <v>87</v>
      </c>
      <c r="C28" s="64" t="s">
        <v>29</v>
      </c>
      <c r="D28" s="103">
        <v>14.75</v>
      </c>
      <c r="E28" s="73">
        <v>5</v>
      </c>
      <c r="F28" s="107">
        <f>D28*E28</f>
        <v>73.75</v>
      </c>
      <c r="G28" s="86"/>
      <c r="H28" s="64" t="s">
        <v>98</v>
      </c>
      <c r="K28" s="50"/>
    </row>
    <row r="29" spans="2:11">
      <c r="B29" s="29" t="s">
        <v>71</v>
      </c>
      <c r="C29" s="64" t="s">
        <v>29</v>
      </c>
      <c r="D29" s="103">
        <v>14.75</v>
      </c>
      <c r="E29" s="73">
        <v>20</v>
      </c>
      <c r="F29" s="107">
        <f t="shared" si="1"/>
        <v>295</v>
      </c>
      <c r="H29" s="64" t="s">
        <v>95</v>
      </c>
    </row>
    <row r="30" spans="2:11">
      <c r="B30" s="29" t="s">
        <v>69</v>
      </c>
      <c r="C30" s="64" t="s">
        <v>29</v>
      </c>
      <c r="D30" s="103">
        <v>14.75</v>
      </c>
      <c r="E30" s="73">
        <v>8</v>
      </c>
      <c r="F30" s="107">
        <f t="shared" si="1"/>
        <v>118</v>
      </c>
      <c r="H30" s="64" t="s">
        <v>96</v>
      </c>
    </row>
    <row r="31" spans="2:11">
      <c r="B31" s="36" t="s">
        <v>73</v>
      </c>
      <c r="D31" s="103"/>
      <c r="E31" s="73"/>
      <c r="F31" s="100"/>
    </row>
    <row r="32" spans="2:11">
      <c r="B32" s="35" t="s">
        <v>72</v>
      </c>
      <c r="C32" s="32" t="s">
        <v>29</v>
      </c>
      <c r="D32" s="103">
        <v>14.75</v>
      </c>
      <c r="E32" s="73">
        <f>E4/80</f>
        <v>54</v>
      </c>
      <c r="F32" s="100">
        <f>D32*E32</f>
        <v>796.5</v>
      </c>
      <c r="H32" s="32" t="s">
        <v>82</v>
      </c>
      <c r="K32" s="49"/>
    </row>
    <row r="33" spans="2:14">
      <c r="B33" s="35" t="s">
        <v>128</v>
      </c>
      <c r="C33" s="32" t="s">
        <v>29</v>
      </c>
      <c r="D33" s="103">
        <v>14.75</v>
      </c>
      <c r="E33" s="73">
        <f>E4/100</f>
        <v>43.2</v>
      </c>
      <c r="F33" s="100">
        <f>D33*E33</f>
        <v>637.20000000000005</v>
      </c>
      <c r="H33" s="32" t="s">
        <v>123</v>
      </c>
      <c r="K33" s="49"/>
      <c r="M33" s="131"/>
      <c r="N33" s="131"/>
    </row>
    <row r="34" spans="2:14">
      <c r="B34" s="35" t="s">
        <v>41</v>
      </c>
      <c r="C34" s="32" t="s">
        <v>42</v>
      </c>
      <c r="D34" s="103">
        <v>0.2</v>
      </c>
      <c r="E34" s="73">
        <f>E4/10</f>
        <v>432</v>
      </c>
      <c r="F34" s="100">
        <f>D34*E34</f>
        <v>86.4</v>
      </c>
      <c r="K34" s="49"/>
    </row>
    <row r="35" spans="2:14" ht="30">
      <c r="B35" s="53" t="s">
        <v>144</v>
      </c>
      <c r="C35" s="54"/>
      <c r="D35" s="99"/>
      <c r="E35" s="140"/>
      <c r="F35" s="99">
        <v>1400</v>
      </c>
      <c r="G35" s="141"/>
      <c r="H35" s="72" t="s">
        <v>148</v>
      </c>
      <c r="K35" s="50"/>
    </row>
    <row r="36" spans="2:14">
      <c r="B36" s="36" t="s">
        <v>10</v>
      </c>
      <c r="D36" s="102"/>
      <c r="E36" s="43"/>
      <c r="F36" s="100"/>
    </row>
    <row r="37" spans="2:14" ht="30">
      <c r="B37" s="121" t="s">
        <v>112</v>
      </c>
      <c r="D37" s="102"/>
      <c r="E37" s="43"/>
      <c r="F37" s="103">
        <v>175</v>
      </c>
      <c r="H37" s="72" t="s">
        <v>113</v>
      </c>
      <c r="K37" s="49"/>
    </row>
    <row r="38" spans="2:14">
      <c r="B38" s="35" t="s">
        <v>11</v>
      </c>
      <c r="D38" s="102"/>
      <c r="E38" s="43"/>
      <c r="F38" s="103">
        <v>75</v>
      </c>
      <c r="K38" s="49"/>
    </row>
    <row r="39" spans="2:14">
      <c r="B39" s="35" t="s">
        <v>12</v>
      </c>
      <c r="D39" s="102"/>
      <c r="E39" s="43"/>
      <c r="F39" s="103">
        <v>100</v>
      </c>
      <c r="K39" s="49"/>
    </row>
    <row r="40" spans="2:14">
      <c r="B40" s="36" t="s">
        <v>13</v>
      </c>
      <c r="D40" s="102"/>
      <c r="E40" s="43"/>
      <c r="F40" s="100"/>
    </row>
    <row r="41" spans="2:14">
      <c r="B41" s="35" t="s">
        <v>70</v>
      </c>
      <c r="C41" s="64" t="s">
        <v>29</v>
      </c>
      <c r="D41" s="103">
        <v>14.75</v>
      </c>
      <c r="E41" s="73">
        <v>50</v>
      </c>
      <c r="F41" s="107">
        <f>D41*E41</f>
        <v>737.5</v>
      </c>
      <c r="H41" s="64" t="s">
        <v>97</v>
      </c>
      <c r="K41" s="49"/>
    </row>
    <row r="42" spans="2:14">
      <c r="B42" s="89" t="s">
        <v>91</v>
      </c>
      <c r="C42" s="64" t="s">
        <v>29</v>
      </c>
      <c r="D42" s="103">
        <v>14.75</v>
      </c>
      <c r="E42" s="73">
        <v>45</v>
      </c>
      <c r="F42" s="107">
        <f>D42*E42</f>
        <v>663.75</v>
      </c>
      <c r="G42" s="86"/>
      <c r="H42" s="85"/>
      <c r="K42" s="49"/>
      <c r="N42" s="132"/>
    </row>
    <row r="43" spans="2:14" ht="18">
      <c r="B43" s="35" t="s">
        <v>143</v>
      </c>
      <c r="C43" s="32" t="s">
        <v>29</v>
      </c>
      <c r="D43" s="103">
        <v>14.75</v>
      </c>
      <c r="E43" s="74">
        <v>11</v>
      </c>
      <c r="F43" s="100">
        <f>D43*E43</f>
        <v>162.25</v>
      </c>
      <c r="K43" s="49"/>
    </row>
    <row r="44" spans="2:14">
      <c r="B44" s="35" t="s">
        <v>14</v>
      </c>
      <c r="D44" s="102"/>
      <c r="E44" s="43"/>
      <c r="F44" s="100">
        <f>(SUM(F7:F43)*0.05)</f>
        <v>314.71000000000004</v>
      </c>
      <c r="G44" s="37"/>
      <c r="H44" s="129"/>
      <c r="K44" s="50"/>
    </row>
    <row r="45" spans="2:14" ht="18">
      <c r="B45" s="35" t="s">
        <v>145</v>
      </c>
      <c r="D45" s="102"/>
      <c r="E45" s="43"/>
      <c r="F45" s="100">
        <f>(SUM(F7:F44))*0.05*(8/12)</f>
        <v>220.29700000000003</v>
      </c>
      <c r="G45" s="37"/>
      <c r="H45" s="129"/>
      <c r="K45" s="49"/>
    </row>
    <row r="46" spans="2:14">
      <c r="B46" s="38" t="s">
        <v>15</v>
      </c>
      <c r="C46" s="38"/>
      <c r="D46" s="104"/>
      <c r="E46" s="39"/>
      <c r="F46" s="104">
        <f>SUM(F7:F45)</f>
        <v>6829.2070000000003</v>
      </c>
      <c r="G46" s="42"/>
      <c r="H46" s="129"/>
      <c r="K46" s="45"/>
    </row>
    <row r="47" spans="2:14">
      <c r="D47" s="100"/>
      <c r="F47" s="100"/>
    </row>
    <row r="48" spans="2:14">
      <c r="B48" s="28" t="s">
        <v>45</v>
      </c>
      <c r="D48" s="100"/>
      <c r="F48" s="100"/>
    </row>
    <row r="49" spans="2:14">
      <c r="B49" s="34" t="s">
        <v>17</v>
      </c>
      <c r="D49" s="100"/>
      <c r="F49" s="100"/>
    </row>
    <row r="50" spans="2:14">
      <c r="B50" s="35" t="s">
        <v>124</v>
      </c>
      <c r="D50" s="100"/>
      <c r="F50" s="100">
        <f>'Int Costs &amp; Dep'!$E$16+'Int Costs &amp; Dep'!$E$17</f>
        <v>178.98000000000002</v>
      </c>
      <c r="K50" s="49"/>
    </row>
    <row r="51" spans="2:14">
      <c r="B51" s="35" t="s">
        <v>18</v>
      </c>
      <c r="D51" s="100"/>
      <c r="F51" s="100">
        <f>'Int Costs &amp; Dep'!$E$19+'Int Costs &amp; Dep'!$E$20+'Int Costs &amp; Dep'!$E$21</f>
        <v>139</v>
      </c>
      <c r="K51" s="49"/>
    </row>
    <row r="52" spans="2:14">
      <c r="B52" s="35" t="s">
        <v>83</v>
      </c>
      <c r="D52" s="100"/>
      <c r="F52" s="100">
        <f>'Int Costs &amp; Dep'!$E$22</f>
        <v>30</v>
      </c>
      <c r="K52" s="49"/>
    </row>
    <row r="53" spans="2:14" s="54" customFormat="1">
      <c r="B53" s="53" t="s">
        <v>104</v>
      </c>
      <c r="C53" s="55"/>
      <c r="D53" s="105"/>
      <c r="E53" s="55"/>
      <c r="F53" s="108">
        <f>'Int Costs &amp; Dep'!$E$23</f>
        <v>100</v>
      </c>
      <c r="K53" s="49"/>
    </row>
    <row r="54" spans="2:14">
      <c r="B54" s="34" t="s">
        <v>19</v>
      </c>
      <c r="D54" s="100"/>
      <c r="F54" s="100"/>
      <c r="K54" s="112"/>
    </row>
    <row r="55" spans="2:14">
      <c r="B55" s="35" t="s">
        <v>103</v>
      </c>
      <c r="D55" s="100"/>
      <c r="F55" s="100">
        <f>'Int Costs &amp; Dep'!$E$4</f>
        <v>16.912500000000001</v>
      </c>
      <c r="K55" s="49"/>
    </row>
    <row r="56" spans="2:14">
      <c r="B56" s="35" t="s">
        <v>124</v>
      </c>
      <c r="D56" s="100"/>
      <c r="F56" s="100">
        <f>'Int Costs &amp; Dep'!$E$5+'Int Costs &amp; Dep'!$E$6</f>
        <v>32.615000000000002</v>
      </c>
      <c r="K56" s="111"/>
    </row>
    <row r="57" spans="2:14">
      <c r="B57" s="35" t="s">
        <v>18</v>
      </c>
      <c r="D57" s="100"/>
      <c r="F57" s="100">
        <f>'Int Costs &amp; Dep'!$E$7</f>
        <v>21.625</v>
      </c>
      <c r="K57" s="49"/>
    </row>
    <row r="58" spans="2:14">
      <c r="B58" s="35" t="s">
        <v>133</v>
      </c>
      <c r="C58" s="32" t="s">
        <v>132</v>
      </c>
      <c r="D58" s="103">
        <v>466.5</v>
      </c>
      <c r="E58" s="73">
        <f>(1920/43560)</f>
        <v>4.4077134986225897E-2</v>
      </c>
      <c r="F58" s="107">
        <f>D58*E58</f>
        <v>20.561983471074381</v>
      </c>
      <c r="H58" s="32" t="s">
        <v>135</v>
      </c>
      <c r="K58" s="50"/>
    </row>
    <row r="59" spans="2:14">
      <c r="B59" s="35" t="s">
        <v>83</v>
      </c>
      <c r="D59" s="100"/>
      <c r="F59" s="100">
        <f>'Int Costs &amp; Dep'!E8</f>
        <v>7.5</v>
      </c>
      <c r="K59" s="49"/>
    </row>
    <row r="60" spans="2:14">
      <c r="B60" s="36" t="s">
        <v>16</v>
      </c>
      <c r="D60" s="100"/>
      <c r="F60" s="100"/>
      <c r="K60" s="112"/>
    </row>
    <row r="61" spans="2:14">
      <c r="B61" s="35" t="s">
        <v>134</v>
      </c>
      <c r="C61" s="32" t="s">
        <v>132</v>
      </c>
      <c r="D61" s="103">
        <v>108</v>
      </c>
      <c r="E61" s="73">
        <f>1920/43560</f>
        <v>4.4077134986225897E-2</v>
      </c>
      <c r="F61" s="107">
        <f>D61*E61</f>
        <v>4.7603305785123968</v>
      </c>
      <c r="K61" s="50"/>
    </row>
    <row r="62" spans="2:14">
      <c r="B62" s="35" t="s">
        <v>131</v>
      </c>
      <c r="C62" s="32" t="s">
        <v>132</v>
      </c>
      <c r="D62" s="103">
        <v>400</v>
      </c>
      <c r="E62" s="73">
        <f>1920/43560</f>
        <v>4.4077134986225897E-2</v>
      </c>
      <c r="F62" s="107">
        <f>D62*E62</f>
        <v>17.630853994490359</v>
      </c>
      <c r="K62" s="50"/>
    </row>
    <row r="63" spans="2:14">
      <c r="B63" s="35" t="s">
        <v>81</v>
      </c>
      <c r="D63" s="100"/>
      <c r="F63" s="103">
        <v>0</v>
      </c>
      <c r="H63" s="32" t="s">
        <v>130</v>
      </c>
      <c r="K63" s="111"/>
    </row>
    <row r="64" spans="2:14">
      <c r="B64" s="38" t="s">
        <v>20</v>
      </c>
      <c r="D64" s="100"/>
      <c r="F64" s="104">
        <f>SUM(F50:F63)</f>
        <v>569.58566804407724</v>
      </c>
      <c r="G64" s="39"/>
      <c r="H64" s="129"/>
      <c r="K64" s="45"/>
      <c r="N64" s="132"/>
    </row>
    <row r="65" spans="2:11">
      <c r="D65" s="100"/>
      <c r="F65" s="100"/>
      <c r="K65" s="50"/>
    </row>
    <row r="66" spans="2:11">
      <c r="B66" s="28" t="s">
        <v>21</v>
      </c>
      <c r="D66" s="100"/>
      <c r="F66" s="104">
        <f>F46+F64</f>
        <v>7398.7926680440778</v>
      </c>
      <c r="G66" s="37"/>
      <c r="K66" s="45"/>
    </row>
    <row r="67" spans="2:11">
      <c r="B67" s="28"/>
      <c r="D67" s="100"/>
      <c r="F67" s="104"/>
      <c r="G67" s="37"/>
      <c r="K67" s="51"/>
    </row>
    <row r="68" spans="2:11">
      <c r="B68" s="28" t="s">
        <v>46</v>
      </c>
      <c r="D68" s="100"/>
      <c r="F68" s="104">
        <f>F4-F66</f>
        <v>5561.2073319559222</v>
      </c>
      <c r="G68" s="37"/>
      <c r="K68" s="45"/>
    </row>
    <row r="69" spans="2:11">
      <c r="B69" s="46"/>
      <c r="C69" s="47"/>
      <c r="D69" s="48"/>
      <c r="E69" s="48"/>
      <c r="F69" s="48"/>
      <c r="G69" s="48"/>
      <c r="H69" s="47"/>
      <c r="I69" s="47"/>
      <c r="J69" s="47"/>
      <c r="K69" s="47"/>
    </row>
    <row r="70" spans="2:11">
      <c r="B70" s="30" t="s">
        <v>162</v>
      </c>
      <c r="C70" s="50"/>
      <c r="D70" s="130"/>
      <c r="E70" s="130"/>
      <c r="F70" s="130"/>
      <c r="G70" s="130"/>
      <c r="H70" s="50"/>
      <c r="I70" s="50"/>
      <c r="J70" s="50"/>
      <c r="K70" s="50"/>
    </row>
    <row r="71" spans="2:11">
      <c r="B71" s="27" t="s">
        <v>121</v>
      </c>
    </row>
    <row r="72" spans="2:11">
      <c r="B72" s="44" t="s">
        <v>122</v>
      </c>
    </row>
    <row r="73" spans="2:11">
      <c r="B73" s="44" t="s">
        <v>146</v>
      </c>
      <c r="C73" s="50"/>
      <c r="D73" s="130"/>
      <c r="E73" s="130"/>
      <c r="F73" s="130"/>
      <c r="G73" s="130"/>
      <c r="H73" s="50"/>
      <c r="I73" s="50"/>
      <c r="J73" s="50"/>
      <c r="K73" s="50"/>
    </row>
    <row r="74" spans="2:11">
      <c r="F74" s="100"/>
    </row>
    <row r="75" spans="2:11">
      <c r="F75" s="100"/>
    </row>
    <row r="76" spans="2:11">
      <c r="F76" s="100"/>
    </row>
    <row r="77" spans="2:11">
      <c r="F77" s="100"/>
    </row>
    <row r="78" spans="2:11">
      <c r="F78" s="100"/>
    </row>
  </sheetData>
  <sheetProtection password="DF21" sheet="1" objects="1" scenarios="1"/>
  <protectedRanges>
    <protectedRange sqref="D4:E4 D9:E22 D24:F27 D28:E34 D35:F35 D37:F39 D41:E43 D58:E58 D61:E62 D63:F63" name="Range1"/>
  </protectedRanges>
  <mergeCells count="1">
    <mergeCell ref="B2:L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B2:I12"/>
  <sheetViews>
    <sheetView zoomScaleNormal="100" workbookViewId="0">
      <selection activeCell="B1" sqref="B1"/>
    </sheetView>
  </sheetViews>
  <sheetFormatPr defaultRowHeight="15"/>
  <cols>
    <col min="1" max="1" width="5.7109375" style="27" customWidth="1"/>
    <col min="2" max="2" width="17.28515625" style="27" customWidth="1"/>
    <col min="3" max="3" width="11.85546875" style="27" customWidth="1"/>
    <col min="4" max="4" width="10.85546875" style="27" customWidth="1"/>
    <col min="5" max="5" width="11.140625" style="27" customWidth="1"/>
    <col min="6" max="6" width="11.85546875" style="27" customWidth="1"/>
    <col min="7" max="7" width="12" style="27" customWidth="1"/>
    <col min="8" max="9" width="2.7109375" style="27" customWidth="1"/>
    <col min="10" max="16384" width="9.140625" style="27"/>
  </cols>
  <sheetData>
    <row r="2" spans="2:9" ht="34.5" customHeight="1">
      <c r="B2" s="155" t="s">
        <v>164</v>
      </c>
      <c r="C2" s="155"/>
      <c r="D2" s="155"/>
      <c r="E2" s="155"/>
      <c r="F2" s="155"/>
      <c r="G2" s="155"/>
      <c r="H2" s="30"/>
    </row>
    <row r="3" spans="2:9">
      <c r="B3" s="156" t="s">
        <v>149</v>
      </c>
      <c r="C3" s="154" t="s">
        <v>49</v>
      </c>
      <c r="D3" s="154"/>
      <c r="E3" s="154"/>
      <c r="F3" s="154"/>
      <c r="G3" s="154"/>
      <c r="H3" s="113"/>
      <c r="I3" s="30"/>
    </row>
    <row r="4" spans="2:9">
      <c r="B4" s="157"/>
      <c r="C4" s="96">
        <v>1.5</v>
      </c>
      <c r="D4" s="96">
        <f>C4+0.5</f>
        <v>2</v>
      </c>
      <c r="E4" s="96">
        <f>D4+0.5</f>
        <v>2.5</v>
      </c>
      <c r="F4" s="96">
        <f>E4+0.5</f>
        <v>3</v>
      </c>
      <c r="G4" s="96">
        <f>F4+0.5</f>
        <v>3.5</v>
      </c>
      <c r="H4" s="114"/>
      <c r="I4" s="30"/>
    </row>
    <row r="5" spans="2:9">
      <c r="B5" s="84">
        <v>2500</v>
      </c>
      <c r="C5" s="145">
        <f>(C$4*$B5)-(((((SUM('Tomato Budget'!$F$7:$F$30,'Tomato Budget'!$F$35:$F$43))+('Tomato Budget'!$D$32*($B5/80))+('Tomato Budget'!$D$33*($B5/100))+('Tomato Budget'!$D$34*($B5/10)))*(1+$C$10)))*(1+($C$11*(8/12))))-'Tomato Budget'!$F$64</f>
        <v>-2953.9451055440786</v>
      </c>
      <c r="D5" s="145">
        <f>(D$4*$B5)-(((((SUM('Tomato Budget'!$F$7:$F$30,'Tomato Budget'!$F$35:$F$43))+('Tomato Budget'!$D$32*($B5/80))+('Tomato Budget'!$D$33*($B5/100))+('Tomato Budget'!$D$34*($B5/10)))*(1+$C$10)))*(1+($C$11*(8/12))))-'Tomato Budget'!$F$64</f>
        <v>-1703.9451055440784</v>
      </c>
      <c r="E5" s="145">
        <f>(E$4*$B5)-(((((SUM('Tomato Budget'!$F$7:$F$30,'Tomato Budget'!$F$35:$F$43))+('Tomato Budget'!$D$32*($B5/80))+('Tomato Budget'!$D$33*($B5/100))+('Tomato Budget'!$D$34*($B5/10)))*(1+$C$10)))*(1+($C$11*(8/12))))-'Tomato Budget'!$F$64</f>
        <v>-453.94510554407839</v>
      </c>
      <c r="F5" s="145">
        <f>(F$4*$B5)-(((((SUM('Tomato Budget'!$F$7:$F$30,'Tomato Budget'!$F$35:$F$43))+('Tomato Budget'!$D$32*($B5/80))+('Tomato Budget'!$D$33*($B5/100))+('Tomato Budget'!$D$34*($B5/10)))*(1+$C$10)))*(1+($C$11*(8/12))))-'Tomato Budget'!$F$64</f>
        <v>796.05489445592161</v>
      </c>
      <c r="G5" s="145">
        <f>(G$4*$B5)-(((((SUM('Tomato Budget'!$F$7:$F$30,'Tomato Budget'!$F$35:$F$43))+('Tomato Budget'!$D$32*($B5/80))+('Tomato Budget'!$D$33*($B5/100))+('Tomato Budget'!$D$34*($B5/10)))*(1+$C$10)))*(1+($C$11*(8/12))))-'Tomato Budget'!$F$64</f>
        <v>2046.0548944559216</v>
      </c>
      <c r="H5" s="31"/>
      <c r="I5" s="30"/>
    </row>
    <row r="6" spans="2:9">
      <c r="B6" s="84">
        <v>3000</v>
      </c>
      <c r="C6" s="143">
        <f>(C$4*$B6)-(((((SUM('Tomato Budget'!$F$7:$F$30,'Tomato Budget'!$F$35:$F$43))+('Tomato Budget'!$D$32*($B6/80))+('Tomato Budget'!$D$33*($B6/100))+('Tomato Budget'!$D$34*($B6/10)))*(1+$C$10)))*(1+($C$11*(8/12))))-'Tomato Budget'!$F$64</f>
        <v>-2394.8372930440783</v>
      </c>
      <c r="D6" s="143">
        <f>(D$4*$B6)-(((((SUM('Tomato Budget'!$F$7:$F$30,'Tomato Budget'!$F$35:$F$43))+('Tomato Budget'!$D$32*($B6/80))+('Tomato Budget'!$D$33*($B6/100))+('Tomato Budget'!$D$34*($B6/10)))*(1+$C$10)))*(1+($C$11*(8/12))))-'Tomato Budget'!$F$64</f>
        <v>-894.83729304407802</v>
      </c>
      <c r="E6" s="143">
        <f>(E$4*$B6)-(((((SUM('Tomato Budget'!$F$7:$F$30,'Tomato Budget'!$F$35:$F$43))+('Tomato Budget'!$D$32*($B6/80))+('Tomato Budget'!$D$33*($B6/100))+('Tomato Budget'!$D$34*($B6/10)))*(1+$C$10)))*(1+($C$11*(8/12))))-'Tomato Budget'!$F$64</f>
        <v>605.16270695592198</v>
      </c>
      <c r="F6" s="143">
        <f>(F$4*$B6)-(((((SUM('Tomato Budget'!$F$7:$F$30,'Tomato Budget'!$F$35:$F$43))+('Tomato Budget'!$D$32*($B6/80))+('Tomato Budget'!$D$33*($B6/100))+('Tomato Budget'!$D$34*($B6/10)))*(1+$C$10)))*(1+($C$11*(8/12))))-'Tomato Budget'!$F$64</f>
        <v>2105.1627069559217</v>
      </c>
      <c r="G6" s="143">
        <f>(G$4*$B6)-(((((SUM('Tomato Budget'!$F$7:$F$30,'Tomato Budget'!$F$35:$F$43))+('Tomato Budget'!$D$32*($B6/80))+('Tomato Budget'!$D$33*($B6/100))+('Tomato Budget'!$D$34*($B6/10)))*(1+$C$10)))*(1+($C$11*(8/12))))-'Tomato Budget'!$F$64</f>
        <v>3605.1627069559217</v>
      </c>
      <c r="H6" s="31"/>
      <c r="I6" s="30"/>
    </row>
    <row r="7" spans="2:9">
      <c r="B7" s="84">
        <v>3500</v>
      </c>
      <c r="C7" s="143">
        <f>(C$4*$B7)-(((((SUM('Tomato Budget'!$F$7:$F$30,'Tomato Budget'!$F$35:$F$43))+('Tomato Budget'!$D$32*($B7/80))+('Tomato Budget'!$D$33*($B7/100))+('Tomato Budget'!$D$34*($B7/10)))*(1+$C$10)))*(1+($C$11*(8/12))))-'Tomato Budget'!$F$64</f>
        <v>-1835.7294805440786</v>
      </c>
      <c r="D7" s="143">
        <f>(D$4*$B7)-(((((SUM('Tomato Budget'!$F$7:$F$30,'Tomato Budget'!$F$35:$F$43))+('Tomato Budget'!$D$32*($B7/80))+('Tomato Budget'!$D$33*($B7/100))+('Tomato Budget'!$D$34*($B7/10)))*(1+$C$10)))*(1+($C$11*(8/12))))-'Tomato Budget'!$F$64</f>
        <v>-85.729480544078569</v>
      </c>
      <c r="E7" s="143">
        <f>(E$4*$B7)-(((((SUM('Tomato Budget'!$F$7:$F$30,'Tomato Budget'!$F$35:$F$43))+('Tomato Budget'!$D$32*($B7/80))+('Tomato Budget'!$D$33*($B7/100))+('Tomato Budget'!$D$34*($B7/10)))*(1+$C$10)))*(1+($C$11*(8/12))))-'Tomato Budget'!$F$64</f>
        <v>1664.2705194559214</v>
      </c>
      <c r="F7" s="143">
        <f>(F$4*$B7)-(((((SUM('Tomato Budget'!$F$7:$F$30,'Tomato Budget'!$F$35:$F$43))+('Tomato Budget'!$D$32*($B7/80))+('Tomato Budget'!$D$33*($B7/100))+('Tomato Budget'!$D$34*($B7/10)))*(1+$C$10)))*(1+($C$11*(8/12))))-'Tomato Budget'!$F$64</f>
        <v>3414.2705194559212</v>
      </c>
      <c r="G7" s="143">
        <f>(G$4*$B7)-(((((SUM('Tomato Budget'!$F$7:$F$30,'Tomato Budget'!$F$35:$F$43))+('Tomato Budget'!$D$32*($B7/80))+('Tomato Budget'!$D$33*($B7/100))+('Tomato Budget'!$D$34*($B7/10)))*(1+$C$10)))*(1+($C$11*(8/12))))-'Tomato Budget'!$F$64</f>
        <v>5164.2705194559212</v>
      </c>
      <c r="H7" s="31"/>
      <c r="I7" s="30"/>
    </row>
    <row r="8" spans="2:9">
      <c r="B8" s="84">
        <v>4000</v>
      </c>
      <c r="C8" s="143">
        <f>(C$4*$B8)-(((((SUM('Tomato Budget'!$F$7:$F$30,'Tomato Budget'!$F$35:$F$43))+('Tomato Budget'!$D$32*($B8/80))+('Tomato Budget'!$D$33*($B8/100))+('Tomato Budget'!$D$34*($B8/10)))*(1+$C$10)))*(1+($C$11*(8/12))))-'Tomato Budget'!$F$64</f>
        <v>-1276.6216680440782</v>
      </c>
      <c r="D8" s="143">
        <f>(D$4*$B8)-(((((SUM('Tomato Budget'!$F$7:$F$30,'Tomato Budget'!$F$35:$F$43))+('Tomato Budget'!$D$32*($B8/80))+('Tomato Budget'!$D$33*($B8/100))+('Tomato Budget'!$D$34*($B8/10)))*(1+$C$10)))*(1+($C$11*(8/12))))-'Tomato Budget'!$F$64</f>
        <v>723.37833195592179</v>
      </c>
      <c r="E8" s="143">
        <f>(E$4*$B8)-(((((SUM('Tomato Budget'!$F$7:$F$30,'Tomato Budget'!$F$35:$F$43))+('Tomato Budget'!$D$32*($B8/80))+('Tomato Budget'!$D$33*($B8/100))+('Tomato Budget'!$D$34*($B8/10)))*(1+$C$10)))*(1+($C$11*(8/12))))-'Tomato Budget'!$F$64</f>
        <v>2723.3783319559216</v>
      </c>
      <c r="F8" s="143">
        <f>(F$4*$B8)-(((((SUM('Tomato Budget'!$F$7:$F$30,'Tomato Budget'!$F$35:$F$43))+('Tomato Budget'!$D$32*($B8/80))+('Tomato Budget'!$D$33*($B8/100))+('Tomato Budget'!$D$34*($B8/10)))*(1+$C$10)))*(1+($C$11*(8/12))))-'Tomato Budget'!$F$64</f>
        <v>4723.3783319559216</v>
      </c>
      <c r="G8" s="143">
        <f>(G$4*$B8)-(((((SUM('Tomato Budget'!$F$7:$F$30,'Tomato Budget'!$F$35:$F$43))+('Tomato Budget'!$D$32*($B8/80))+('Tomato Budget'!$D$33*($B8/100))+('Tomato Budget'!$D$34*($B8/10)))*(1+$C$10)))*(1+($C$11*(8/12))))-'Tomato Budget'!$F$64</f>
        <v>6723.3783319559216</v>
      </c>
      <c r="H8" s="31"/>
      <c r="I8" s="30"/>
    </row>
    <row r="9" spans="2:9">
      <c r="B9" s="115">
        <v>4500</v>
      </c>
      <c r="C9" s="144">
        <f>(C$4*$B9)-(((((SUM('Tomato Budget'!$F$7:$F$30,'Tomato Budget'!$F$35:$F$43))+('Tomato Budget'!$D$32*($B9/80))+('Tomato Budget'!$D$33*($B9/100))+('Tomato Budget'!$D$34*($B9/10)))*(1+$C$10)))*(1+($C$11*(8/12))))-'Tomato Budget'!$F$64</f>
        <v>-717.51385554407784</v>
      </c>
      <c r="D9" s="144">
        <f>(D$4*$B9)-(((((SUM('Tomato Budget'!$F$7:$F$30,'Tomato Budget'!$F$35:$F$43))+('Tomato Budget'!$D$32*($B9/80))+('Tomato Budget'!$D$33*($B9/100))+('Tomato Budget'!$D$34*($B9/10)))*(1+$C$10)))*(1+($C$11*(8/12))))-'Tomato Budget'!$F$64</f>
        <v>1532.4861444559222</v>
      </c>
      <c r="E9" s="144">
        <f>(E$4*$B9)-(((((SUM('Tomato Budget'!$F$7:$F$30,'Tomato Budget'!$F$35:$F$43))+('Tomato Budget'!$D$32*($B9/80))+('Tomato Budget'!$D$33*($B9/100))+('Tomato Budget'!$D$34*($B9/10)))*(1+$C$10)))*(1+($C$11*(8/12))))-'Tomato Budget'!$F$64</f>
        <v>3782.4861444559219</v>
      </c>
      <c r="F9" s="144">
        <f>(F$4*$B9)-(((((SUM('Tomato Budget'!$F$7:$F$30,'Tomato Budget'!$F$35:$F$43))+('Tomato Budget'!$D$32*($B9/80))+('Tomato Budget'!$D$33*($B9/100))+('Tomato Budget'!$D$34*($B9/10)))*(1+$C$10)))*(1+($C$11*(8/12))))-'Tomato Budget'!$F$64</f>
        <v>6032.4861444559219</v>
      </c>
      <c r="G9" s="144">
        <f>(G$4*$B9)-(((((SUM('Tomato Budget'!$F$7:$F$30,'Tomato Budget'!$F$35:$F$43))+('Tomato Budget'!$D$32*($B9/80))+('Tomato Budget'!$D$33*($B9/100))+('Tomato Budget'!$D$34*($B9/10)))*(1+$C$10)))*(1+($C$11*(8/12))))-'Tomato Budget'!$F$64</f>
        <v>8282.486144455921</v>
      </c>
      <c r="H9" s="31"/>
      <c r="I9" s="30"/>
    </row>
    <row r="10" spans="2:9">
      <c r="B10" s="97" t="s">
        <v>48</v>
      </c>
      <c r="C10" s="117">
        <v>0.05</v>
      </c>
      <c r="D10" s="97"/>
      <c r="E10" s="98"/>
      <c r="F10" s="98"/>
      <c r="G10" s="98"/>
    </row>
    <row r="11" spans="2:9">
      <c r="B11" s="116" t="s">
        <v>19</v>
      </c>
      <c r="C11" s="118">
        <v>0.05</v>
      </c>
      <c r="D11" s="116"/>
      <c r="E11" s="116"/>
      <c r="F11" s="116"/>
      <c r="G11" s="116"/>
    </row>
    <row r="12" spans="2:9">
      <c r="B12" s="30"/>
      <c r="C12" s="70"/>
      <c r="D12" s="30"/>
    </row>
  </sheetData>
  <sheetProtection password="DF21" sheet="1" objects="1" scenarios="1"/>
  <protectedRanges>
    <protectedRange sqref="C4:G4 B5:B9 C10:C11" name="Range1"/>
  </protectedRanges>
  <mergeCells count="3">
    <mergeCell ref="C3:G3"/>
    <mergeCell ref="B2:G2"/>
    <mergeCell ref="B3:B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B2:G33"/>
  <sheetViews>
    <sheetView zoomScaleNormal="100" workbookViewId="0">
      <selection activeCell="B1" sqref="B1"/>
    </sheetView>
  </sheetViews>
  <sheetFormatPr defaultRowHeight="15"/>
  <cols>
    <col min="1" max="1" width="9.140625" style="52"/>
    <col min="2" max="2" width="59.140625" style="3" customWidth="1"/>
    <col min="3" max="3" width="16.7109375" style="3" customWidth="1"/>
    <col min="4" max="4" width="18" style="3" customWidth="1"/>
    <col min="5" max="6" width="9.140625" style="3"/>
    <col min="7" max="16384" width="9.140625" style="52"/>
  </cols>
  <sheetData>
    <row r="2" spans="2:7" ht="18" customHeight="1">
      <c r="B2" s="158" t="s">
        <v>105</v>
      </c>
      <c r="C2" s="158"/>
      <c r="D2" s="158"/>
      <c r="E2" s="119"/>
      <c r="F2" s="119"/>
      <c r="G2" s="119"/>
    </row>
    <row r="3" spans="2:7">
      <c r="B3" s="7"/>
      <c r="C3" s="8" t="s">
        <v>50</v>
      </c>
      <c r="D3" s="8" t="s">
        <v>21</v>
      </c>
    </row>
    <row r="4" spans="2:7">
      <c r="B4" s="9"/>
      <c r="C4" s="10"/>
      <c r="D4" s="11"/>
    </row>
    <row r="5" spans="2:7">
      <c r="B5" s="9" t="s">
        <v>102</v>
      </c>
      <c r="C5" s="75"/>
      <c r="D5" s="11">
        <f>SUM(C6:C12)</f>
        <v>1186</v>
      </c>
    </row>
    <row r="6" spans="2:7">
      <c r="B6" s="135" t="s">
        <v>74</v>
      </c>
      <c r="C6" s="136">
        <v>429</v>
      </c>
      <c r="D6" s="11"/>
    </row>
    <row r="7" spans="2:7">
      <c r="B7" s="135" t="s">
        <v>75</v>
      </c>
      <c r="C7" s="136">
        <v>234</v>
      </c>
      <c r="D7" s="11"/>
    </row>
    <row r="8" spans="2:7">
      <c r="B8" s="135" t="s">
        <v>80</v>
      </c>
      <c r="C8" s="136">
        <v>24</v>
      </c>
      <c r="D8" s="11"/>
    </row>
    <row r="9" spans="2:7">
      <c r="B9" s="135" t="s">
        <v>76</v>
      </c>
      <c r="C9" s="136">
        <v>344</v>
      </c>
      <c r="D9" s="11"/>
    </row>
    <row r="10" spans="2:7">
      <c r="B10" s="135" t="s">
        <v>77</v>
      </c>
      <c r="C10" s="136">
        <v>50</v>
      </c>
      <c r="D10" s="11"/>
    </row>
    <row r="11" spans="2:7">
      <c r="B11" s="135" t="s">
        <v>78</v>
      </c>
      <c r="C11" s="136">
        <v>55</v>
      </c>
      <c r="D11" s="11"/>
    </row>
    <row r="12" spans="2:7">
      <c r="B12" s="135" t="s">
        <v>115</v>
      </c>
      <c r="C12" s="136">
        <v>50</v>
      </c>
      <c r="D12" s="11"/>
    </row>
    <row r="13" spans="2:7">
      <c r="B13" s="9" t="s">
        <v>79</v>
      </c>
      <c r="C13" s="75"/>
      <c r="D13" s="78">
        <v>475</v>
      </c>
    </row>
    <row r="14" spans="2:7">
      <c r="B14" s="9" t="s">
        <v>92</v>
      </c>
      <c r="C14" s="75"/>
      <c r="D14" s="78">
        <v>140</v>
      </c>
    </row>
    <row r="15" spans="2:7">
      <c r="B15" s="126" t="s">
        <v>139</v>
      </c>
      <c r="C15" s="75"/>
      <c r="D15" s="78">
        <v>50</v>
      </c>
    </row>
    <row r="16" spans="2:7">
      <c r="B16" s="126" t="s">
        <v>138</v>
      </c>
      <c r="C16" s="75"/>
      <c r="D16" s="11">
        <f>SUM(C17:C18)</f>
        <v>815</v>
      </c>
    </row>
    <row r="17" spans="2:4">
      <c r="B17" s="137" t="s">
        <v>136</v>
      </c>
      <c r="C17" s="136">
        <v>340</v>
      </c>
      <c r="D17" s="11"/>
    </row>
    <row r="18" spans="2:4">
      <c r="B18" s="137" t="s">
        <v>137</v>
      </c>
      <c r="C18" s="136">
        <v>475</v>
      </c>
      <c r="D18" s="11"/>
    </row>
    <row r="19" spans="2:4" ht="15.75" thickBot="1">
      <c r="B19" s="126" t="s">
        <v>118</v>
      </c>
      <c r="C19" s="128"/>
      <c r="D19" s="134">
        <v>300</v>
      </c>
    </row>
    <row r="20" spans="2:4" ht="15.75" thickTop="1">
      <c r="B20" s="126"/>
      <c r="C20" s="128"/>
      <c r="D20" s="125"/>
    </row>
    <row r="21" spans="2:4">
      <c r="B21" s="12" t="s">
        <v>21</v>
      </c>
      <c r="C21" s="127"/>
      <c r="D21" s="13">
        <f>SUM(D5:D19)</f>
        <v>2966</v>
      </c>
    </row>
    <row r="22" spans="2:4">
      <c r="B22" s="14" t="s">
        <v>156</v>
      </c>
    </row>
    <row r="23" spans="2:4">
      <c r="B23" s="14" t="s">
        <v>119</v>
      </c>
    </row>
    <row r="33" spans="2:2">
      <c r="B33" s="4"/>
    </row>
  </sheetData>
  <sheetProtection password="DF21" sheet="1" objects="1" scenarios="1"/>
  <protectedRanges>
    <protectedRange sqref="C6:D15 C17:D19" name="Range1"/>
  </protectedRanges>
  <mergeCells count="1">
    <mergeCell ref="B2:D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B2:K29"/>
  <sheetViews>
    <sheetView zoomScaleNormal="100" workbookViewId="0">
      <selection activeCell="B1" sqref="B1"/>
    </sheetView>
  </sheetViews>
  <sheetFormatPr defaultRowHeight="15"/>
  <cols>
    <col min="1" max="1" width="6.7109375" style="3" customWidth="1"/>
    <col min="2" max="2" width="30.42578125" style="3" customWidth="1"/>
    <col min="3" max="3" width="15.42578125" style="3" customWidth="1"/>
    <col min="4" max="4" width="14.28515625" style="3" customWidth="1"/>
    <col min="5" max="5" width="13.85546875" style="3" customWidth="1"/>
    <col min="6" max="6" width="18" style="3" customWidth="1"/>
    <col min="7" max="7" width="5.28515625" style="3" customWidth="1"/>
    <col min="8" max="8" width="22" style="3" customWidth="1"/>
    <col min="9" max="9" width="4.5703125" style="3" customWidth="1"/>
    <col min="10" max="10" width="11.85546875" style="3" customWidth="1"/>
    <col min="11" max="11" width="9.140625" style="3"/>
    <col min="12" max="12" width="10.5703125" style="3" bestFit="1" customWidth="1"/>
    <col min="13" max="16384" width="9.140625" style="3"/>
  </cols>
  <sheetData>
    <row r="2" spans="2:11" ht="32.25" customHeight="1">
      <c r="B2" s="159" t="s">
        <v>150</v>
      </c>
      <c r="C2" s="159"/>
      <c r="D2" s="159"/>
      <c r="E2" s="159"/>
      <c r="F2" s="15"/>
      <c r="G2" s="15"/>
    </row>
    <row r="3" spans="2:11" ht="29.25">
      <c r="B3" s="20"/>
      <c r="C3" s="21" t="s">
        <v>22</v>
      </c>
      <c r="D3" s="21" t="s">
        <v>23</v>
      </c>
      <c r="E3" s="21" t="s">
        <v>24</v>
      </c>
      <c r="F3" s="76"/>
    </row>
    <row r="4" spans="2:11">
      <c r="B4" s="1" t="s">
        <v>157</v>
      </c>
      <c r="C4" s="122">
        <f>'Capital Req'!$D$13+'Capital Req'!$D$14</f>
        <v>615</v>
      </c>
      <c r="D4" s="122">
        <f>C4*$C$10</f>
        <v>61.5</v>
      </c>
      <c r="E4" s="122">
        <f>((C4+D4)/2)*$C$9</f>
        <v>16.912500000000001</v>
      </c>
      <c r="F4" s="77"/>
    </row>
    <row r="5" spans="2:11">
      <c r="B5" s="1" t="s">
        <v>158</v>
      </c>
      <c r="C5" s="122">
        <f>'Capital Req'!$C$9</f>
        <v>344</v>
      </c>
      <c r="D5" s="122">
        <f>C5*$C$10</f>
        <v>34.4</v>
      </c>
      <c r="E5" s="122">
        <f>((C5+D5)/2)*$C$9</f>
        <v>9.4599999999999991</v>
      </c>
      <c r="I5" s="16"/>
      <c r="J5" s="133"/>
      <c r="K5" s="133"/>
    </row>
    <row r="6" spans="2:11">
      <c r="B6" s="1" t="s">
        <v>159</v>
      </c>
      <c r="C6" s="122">
        <f>'Capital Req'!$D$5-'Capital Req'!$C$9</f>
        <v>842</v>
      </c>
      <c r="D6" s="122">
        <f>C6*$C$10</f>
        <v>84.2</v>
      </c>
      <c r="E6" s="122">
        <f>((C6+D6)/2)*$C$9</f>
        <v>23.155000000000001</v>
      </c>
      <c r="I6" s="16"/>
      <c r="J6" s="133"/>
      <c r="K6" s="133"/>
    </row>
    <row r="7" spans="2:11">
      <c r="B7" s="1" t="s">
        <v>160</v>
      </c>
      <c r="C7" s="122">
        <f>'Capital Req'!$D$15+'Capital Req'!$D$16</f>
        <v>865</v>
      </c>
      <c r="D7" s="122">
        <v>0</v>
      </c>
      <c r="E7" s="122">
        <f>((C7+D7)/2)*$C$9</f>
        <v>21.625</v>
      </c>
      <c r="F7" s="77"/>
      <c r="G7" s="17"/>
      <c r="H7" s="1"/>
      <c r="I7" s="16"/>
    </row>
    <row r="8" spans="2:11">
      <c r="B8" s="123" t="s">
        <v>118</v>
      </c>
      <c r="C8" s="124">
        <f>'Capital Req'!$D$19</f>
        <v>300</v>
      </c>
      <c r="D8" s="124">
        <f>0</f>
        <v>0</v>
      </c>
      <c r="E8" s="124">
        <f>((C8+D8)/2)*$C$9</f>
        <v>7.5</v>
      </c>
      <c r="F8" s="77"/>
    </row>
    <row r="9" spans="2:11">
      <c r="B9" s="90" t="s">
        <v>25</v>
      </c>
      <c r="C9" s="91">
        <v>0.05</v>
      </c>
      <c r="D9" s="92"/>
      <c r="E9" s="92"/>
      <c r="F9" s="2"/>
      <c r="G9" s="4"/>
      <c r="H9" s="4"/>
    </row>
    <row r="10" spans="2:11">
      <c r="B10" s="93" t="s">
        <v>23</v>
      </c>
      <c r="C10" s="94">
        <v>0.1</v>
      </c>
      <c r="D10" s="95"/>
      <c r="E10" s="95"/>
      <c r="F10" s="2"/>
      <c r="G10" s="4"/>
      <c r="H10" s="4"/>
    </row>
    <row r="11" spans="2:11">
      <c r="B11" s="6"/>
      <c r="C11" s="1"/>
      <c r="D11" s="1"/>
      <c r="E11" s="1"/>
      <c r="F11" s="1"/>
    </row>
    <row r="12" spans="2:11" ht="16.5">
      <c r="B12" s="19"/>
      <c r="C12" s="1"/>
      <c r="D12" s="1"/>
      <c r="E12" s="1"/>
      <c r="F12" s="1"/>
    </row>
    <row r="13" spans="2:11">
      <c r="B13" s="6"/>
      <c r="C13" s="1"/>
      <c r="D13" s="1"/>
      <c r="E13" s="1"/>
      <c r="F13" s="1"/>
    </row>
    <row r="14" spans="2:11" ht="35.25" customHeight="1">
      <c r="B14" s="162" t="s">
        <v>151</v>
      </c>
      <c r="C14" s="162"/>
      <c r="D14" s="162"/>
      <c r="E14" s="162"/>
      <c r="F14" s="142"/>
    </row>
    <row r="15" spans="2:11" ht="29.25">
      <c r="B15" s="20"/>
      <c r="C15" s="21" t="s">
        <v>22</v>
      </c>
      <c r="D15" s="21" t="s">
        <v>26</v>
      </c>
      <c r="E15" s="21" t="s">
        <v>86</v>
      </c>
    </row>
    <row r="16" spans="2:11">
      <c r="B16" s="1" t="s">
        <v>158</v>
      </c>
      <c r="C16" s="122">
        <f>'Capital Req'!C9</f>
        <v>344</v>
      </c>
      <c r="D16" s="79">
        <v>3</v>
      </c>
      <c r="E16" s="22">
        <f>($C16-$D5)/$D$16</f>
        <v>103.2</v>
      </c>
      <c r="G16" s="5"/>
    </row>
    <row r="17" spans="2:8">
      <c r="B17" s="1" t="s">
        <v>159</v>
      </c>
      <c r="C17" s="122">
        <f>'Capital Req'!D5-'Int Costs &amp; Dep'!C16</f>
        <v>842</v>
      </c>
      <c r="D17" s="79">
        <v>10</v>
      </c>
      <c r="E17" s="22">
        <f>($C17-$D6)/$D$17</f>
        <v>75.78</v>
      </c>
      <c r="G17" s="5"/>
    </row>
    <row r="18" spans="2:8">
      <c r="B18" s="1" t="s">
        <v>160</v>
      </c>
      <c r="C18" s="122"/>
      <c r="D18" s="79"/>
      <c r="E18" s="22"/>
      <c r="G18" s="5"/>
    </row>
    <row r="19" spans="2:8">
      <c r="B19" s="138" t="s">
        <v>140</v>
      </c>
      <c r="C19" s="122">
        <f>'Capital Req'!D15</f>
        <v>50</v>
      </c>
      <c r="D19" s="79">
        <v>5</v>
      </c>
      <c r="E19" s="22">
        <f>($C19-$D$7)/$D$19</f>
        <v>10</v>
      </c>
      <c r="G19" s="5"/>
    </row>
    <row r="20" spans="2:8">
      <c r="B20" s="138" t="s">
        <v>141</v>
      </c>
      <c r="C20" s="122">
        <f>'Capital Req'!C17</f>
        <v>340</v>
      </c>
      <c r="D20" s="79">
        <v>10</v>
      </c>
      <c r="E20" s="22">
        <f>($C20-$D$7)/$D$20</f>
        <v>34</v>
      </c>
      <c r="G20" s="5"/>
    </row>
    <row r="21" spans="2:8">
      <c r="B21" s="138" t="s">
        <v>142</v>
      </c>
      <c r="C21" s="122">
        <f>'Capital Req'!C18</f>
        <v>475</v>
      </c>
      <c r="D21" s="79">
        <v>5</v>
      </c>
      <c r="E21" s="22">
        <f>($C21-$D$7)/$D$21</f>
        <v>95</v>
      </c>
      <c r="G21" s="5"/>
    </row>
    <row r="22" spans="2:8">
      <c r="B22" s="1" t="s">
        <v>118</v>
      </c>
      <c r="C22" s="122">
        <v>300</v>
      </c>
      <c r="D22" s="79">
        <v>10</v>
      </c>
      <c r="E22" s="22">
        <f>($C22-$D8)/$D$22</f>
        <v>30</v>
      </c>
      <c r="G22" s="5"/>
    </row>
    <row r="23" spans="2:8">
      <c r="B23" s="18" t="s">
        <v>161</v>
      </c>
      <c r="C23" s="23"/>
      <c r="D23" s="23"/>
      <c r="E23" s="80">
        <v>100</v>
      </c>
      <c r="G23" s="5"/>
    </row>
    <row r="24" spans="2:8" ht="15" customHeight="1">
      <c r="B24" s="160" t="s">
        <v>152</v>
      </c>
      <c r="C24" s="160"/>
      <c r="D24" s="160"/>
      <c r="E24" s="160"/>
      <c r="F24" s="120"/>
      <c r="H24" s="24"/>
    </row>
    <row r="25" spans="2:8">
      <c r="B25" s="161"/>
      <c r="C25" s="161"/>
      <c r="D25" s="161"/>
      <c r="E25" s="161"/>
      <c r="F25" s="120"/>
      <c r="H25" s="24"/>
    </row>
    <row r="26" spans="2:8" ht="39" customHeight="1">
      <c r="B26" s="161"/>
      <c r="C26" s="161"/>
      <c r="D26" s="161"/>
      <c r="E26" s="161"/>
      <c r="F26" s="120"/>
      <c r="H26" s="25"/>
    </row>
    <row r="27" spans="2:8">
      <c r="B27" s="120"/>
      <c r="C27" s="120"/>
      <c r="D27" s="120"/>
      <c r="E27" s="120"/>
      <c r="F27" s="120"/>
      <c r="H27" s="24"/>
    </row>
    <row r="28" spans="2:8">
      <c r="B28" s="26"/>
      <c r="C28" s="78"/>
      <c r="D28" s="79"/>
      <c r="E28" s="22"/>
      <c r="F28" s="26"/>
      <c r="H28" s="24"/>
    </row>
    <row r="29" spans="2:8">
      <c r="C29" s="78"/>
      <c r="D29" s="79"/>
      <c r="E29" s="22"/>
    </row>
  </sheetData>
  <sheetProtection password="DF21" sheet="1" objects="1" scenarios="1"/>
  <protectedRanges>
    <protectedRange sqref="C9:C10 D16:D23 E23" name="Range1"/>
  </protectedRanges>
  <mergeCells count="3">
    <mergeCell ref="B2:E2"/>
    <mergeCell ref="B24:E26"/>
    <mergeCell ref="B14:E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vt:lpstr>
      <vt:lpstr>Tomato Budget</vt:lpstr>
      <vt:lpstr>Price &amp; Yield Anal.</vt:lpstr>
      <vt:lpstr>Capital Req</vt:lpstr>
      <vt:lpstr>Int Costs &amp; Dep</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Galinato, Suzette</dc:creator>
  <cp:lastModifiedBy>Suzette P. Galinato</cp:lastModifiedBy>
  <dcterms:created xsi:type="dcterms:W3CDTF">2011-04-10T04:41:47Z</dcterms:created>
  <dcterms:modified xsi:type="dcterms:W3CDTF">2012-10-15T22:12:23Z</dcterms:modified>
</cp:coreProperties>
</file>