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omments6.xml" ContentType="application/vnd.openxmlformats-officedocument.spreadsheetml.comment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omments7.xml" ContentType="application/vnd.openxmlformats-officedocument.spreadsheetml.comment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omments8.xml" ContentType="application/vnd.openxmlformats-officedocument.spreadsheetml.comment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xml" ContentType="application/vnd.openxmlformats-officedocument.drawing+xml"/>
  <Override PartName="/xl/comments9.xml" ContentType="application/vnd.openxmlformats-officedocument.spreadsheetml.comment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johnson\Documents\Nils\Grants\SpecialtyCropBlockGrant_2014\ProgressReports\BusinessModel\"/>
    </mc:Choice>
  </mc:AlternateContent>
  <bookViews>
    <workbookView xWindow="0" yWindow="0" windowWidth="28050" windowHeight="12620" activeTab="1"/>
  </bookViews>
  <sheets>
    <sheet name="RevenueStreams" sheetId="17" r:id="rId1"/>
    <sheet name="8YrCalendar" sheetId="18" r:id="rId2"/>
    <sheet name="Plots" sheetId="20" r:id="rId3"/>
    <sheet name="Payroll" sheetId="19" r:id="rId4"/>
    <sheet name="RevenueStreams_Old" sheetId="8" r:id="rId5"/>
    <sheet name="Salaries" sheetId="16" r:id="rId6"/>
    <sheet name="FrozenCornOnTheCob" sheetId="14" r:id="rId7"/>
    <sheet name="FrozenBroccoli" sheetId="13" r:id="rId8"/>
    <sheet name="SugarFreeJam" sheetId="15" r:id="rId9"/>
    <sheet name="PickledGarlic" sheetId="12" r:id="rId10"/>
    <sheet name="RootVegMedley" sheetId="11" r:id="rId11"/>
    <sheet name="PickledCarrotsOld" sheetId="1" r:id="rId12"/>
    <sheet name="KitchenEquipmentCosts" sheetId="2" r:id="rId13"/>
    <sheet name="EquipmentAtOtherFacilities" sheetId="4" r:id="rId14"/>
    <sheet name="ProjAssumptions" sheetId="9" r:id="rId15"/>
    <sheet name="NamedRanges" sheetId="3" r:id="rId16"/>
    <sheet name="FrozenVegMedley_2Options" sheetId="5" r:id="rId17"/>
    <sheet name="Jam" sheetId="6" r:id="rId18"/>
  </sheets>
  <externalReferences>
    <externalReference r:id="rId19"/>
    <externalReference r:id="rId20"/>
  </externalReferences>
  <definedNames>
    <definedName name="EquipmentVoltage">NamedRanges!$B$4:$B$30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2" i="18" l="1"/>
  <c r="AO11" i="18"/>
  <c r="AO10" i="18"/>
  <c r="J51" i="20" l="1"/>
  <c r="J45" i="20"/>
  <c r="J48" i="20"/>
  <c r="J49" i="20"/>
  <c r="J50" i="20"/>
  <c r="J46" i="20"/>
  <c r="J47" i="20"/>
  <c r="O14" i="13"/>
  <c r="O13" i="15"/>
  <c r="O12" i="12"/>
  <c r="P9" i="11"/>
  <c r="O11" i="14"/>
  <c r="O10" i="13"/>
  <c r="C37" i="20"/>
  <c r="C36" i="20"/>
  <c r="K1" i="20"/>
  <c r="D1" i="20"/>
  <c r="I1" i="20"/>
  <c r="K33" i="20" l="1"/>
  <c r="J33" i="20"/>
  <c r="I33" i="20"/>
  <c r="H33" i="20"/>
  <c r="G33" i="20"/>
  <c r="F33" i="20"/>
  <c r="E33" i="20"/>
  <c r="D33" i="20"/>
  <c r="K32" i="20"/>
  <c r="J32" i="20"/>
  <c r="I32" i="20"/>
  <c r="H32" i="20"/>
  <c r="G32" i="20"/>
  <c r="F32" i="20"/>
  <c r="L32" i="20" s="1"/>
  <c r="E32" i="20"/>
  <c r="D32" i="20"/>
  <c r="K31" i="20"/>
  <c r="J31" i="20"/>
  <c r="I31" i="20"/>
  <c r="H31" i="20"/>
  <c r="G31" i="20"/>
  <c r="F31" i="20"/>
  <c r="E31" i="20"/>
  <c r="D31" i="20"/>
  <c r="J30" i="20"/>
  <c r="K30" i="20"/>
  <c r="K34" i="20" s="1"/>
  <c r="I30" i="20"/>
  <c r="I34" i="20" s="1"/>
  <c r="H30" i="20"/>
  <c r="H34" i="20" s="1"/>
  <c r="G30" i="20"/>
  <c r="G34" i="20" s="1"/>
  <c r="F30" i="20"/>
  <c r="F34" i="20" s="1"/>
  <c r="E30" i="20"/>
  <c r="E34" i="20" s="1"/>
  <c r="D30" i="20"/>
  <c r="D34" i="20" s="1"/>
  <c r="E530" i="18"/>
  <c r="E465" i="18"/>
  <c r="E400" i="18"/>
  <c r="E335" i="18"/>
  <c r="E270" i="18"/>
  <c r="E205" i="18"/>
  <c r="E139" i="18"/>
  <c r="E74" i="18"/>
  <c r="AO509" i="18"/>
  <c r="AO508" i="18"/>
  <c r="AO506" i="18"/>
  <c r="AO444" i="18"/>
  <c r="AO443" i="18"/>
  <c r="AO441" i="18"/>
  <c r="AO379" i="18"/>
  <c r="AO378" i="18"/>
  <c r="AO376" i="18"/>
  <c r="AO314" i="18"/>
  <c r="AO313" i="18"/>
  <c r="AO311" i="18"/>
  <c r="AO249" i="18"/>
  <c r="AO248" i="18"/>
  <c r="AO246" i="18"/>
  <c r="AO184" i="18"/>
  <c r="AO183" i="18"/>
  <c r="AO181" i="18"/>
  <c r="AO118" i="18"/>
  <c r="AO117" i="18"/>
  <c r="AO115" i="18"/>
  <c r="AO53" i="18"/>
  <c r="AO52" i="18"/>
  <c r="A66" i="18"/>
  <c r="AO50" i="18"/>
  <c r="K7" i="20"/>
  <c r="J7" i="20"/>
  <c r="I7" i="20"/>
  <c r="H7" i="20"/>
  <c r="G7" i="20"/>
  <c r="F7" i="20"/>
  <c r="E7" i="20"/>
  <c r="D7" i="20"/>
  <c r="K5" i="20"/>
  <c r="I5" i="20"/>
  <c r="H5" i="20"/>
  <c r="F5" i="20"/>
  <c r="E5" i="20"/>
  <c r="AO478" i="18"/>
  <c r="AO476" i="18"/>
  <c r="AO413" i="18"/>
  <c r="AO348" i="18"/>
  <c r="AO346" i="18"/>
  <c r="AO283" i="18"/>
  <c r="AO281" i="18"/>
  <c r="AO218" i="18"/>
  <c r="AO153" i="18"/>
  <c r="AO151" i="18"/>
  <c r="AO87" i="18"/>
  <c r="AO85" i="18"/>
  <c r="AO19" i="18"/>
  <c r="L7" i="20" l="1"/>
  <c r="L31" i="20"/>
  <c r="L33" i="20"/>
  <c r="J34" i="20"/>
  <c r="L30" i="20"/>
  <c r="H530" i="18"/>
  <c r="K530" i="18" s="1"/>
  <c r="N530" i="18" s="1"/>
  <c r="Q530" i="18" s="1"/>
  <c r="T530" i="18" s="1"/>
  <c r="W530" i="18" s="1"/>
  <c r="Z530" i="18" s="1"/>
  <c r="AC530" i="18" s="1"/>
  <c r="AF530" i="18" s="1"/>
  <c r="AI530" i="18" s="1"/>
  <c r="AL530" i="18" s="1"/>
  <c r="H465" i="18"/>
  <c r="K465" i="18" s="1"/>
  <c r="N465" i="18" s="1"/>
  <c r="Q465" i="18" s="1"/>
  <c r="T465" i="18" s="1"/>
  <c r="W465" i="18" s="1"/>
  <c r="Z465" i="18" s="1"/>
  <c r="AC465" i="18" s="1"/>
  <c r="AF465" i="18" s="1"/>
  <c r="AI465" i="18" s="1"/>
  <c r="AL465" i="18" s="1"/>
  <c r="H400" i="18"/>
  <c r="K400" i="18" s="1"/>
  <c r="N400" i="18" s="1"/>
  <c r="Q400" i="18" s="1"/>
  <c r="T400" i="18" s="1"/>
  <c r="W400" i="18" s="1"/>
  <c r="Z400" i="18" s="1"/>
  <c r="AC400" i="18" s="1"/>
  <c r="AF400" i="18" s="1"/>
  <c r="AI400" i="18" s="1"/>
  <c r="AL400" i="18" s="1"/>
  <c r="H335" i="18"/>
  <c r="K335" i="18" s="1"/>
  <c r="N335" i="18" s="1"/>
  <c r="Q335" i="18" s="1"/>
  <c r="T335" i="18" s="1"/>
  <c r="W335" i="18" s="1"/>
  <c r="Z335" i="18" s="1"/>
  <c r="AC335" i="18" s="1"/>
  <c r="AF335" i="18" s="1"/>
  <c r="AI335" i="18" s="1"/>
  <c r="AL335" i="18" s="1"/>
  <c r="H270" i="18"/>
  <c r="K270" i="18" s="1"/>
  <c r="N270" i="18" s="1"/>
  <c r="Q270" i="18" s="1"/>
  <c r="T270" i="18" s="1"/>
  <c r="W270" i="18" s="1"/>
  <c r="Z270" i="18" s="1"/>
  <c r="AC270" i="18" s="1"/>
  <c r="AF270" i="18" s="1"/>
  <c r="AI270" i="18" s="1"/>
  <c r="AL270" i="18" s="1"/>
  <c r="H205" i="18"/>
  <c r="K205" i="18" s="1"/>
  <c r="N205" i="18" s="1"/>
  <c r="Q205" i="18" s="1"/>
  <c r="T205" i="18" s="1"/>
  <c r="W205" i="18" s="1"/>
  <c r="Z205" i="18" s="1"/>
  <c r="AC205" i="18" s="1"/>
  <c r="AF205" i="18" s="1"/>
  <c r="AI205" i="18" s="1"/>
  <c r="AL205" i="18" s="1"/>
  <c r="H139" i="18"/>
  <c r="K139" i="18" s="1"/>
  <c r="N139" i="18" s="1"/>
  <c r="Q139" i="18" s="1"/>
  <c r="T139" i="18" s="1"/>
  <c r="W139" i="18" s="1"/>
  <c r="Z139" i="18" s="1"/>
  <c r="AC139" i="18" s="1"/>
  <c r="AF139" i="18" s="1"/>
  <c r="AI139" i="18" s="1"/>
  <c r="AL139" i="18" s="1"/>
  <c r="H74" i="18"/>
  <c r="K74" i="18" s="1"/>
  <c r="N74" i="18" s="1"/>
  <c r="Q74" i="18" s="1"/>
  <c r="T74" i="18" s="1"/>
  <c r="W74" i="18" s="1"/>
  <c r="Z74" i="18" s="1"/>
  <c r="AC74" i="18" s="1"/>
  <c r="AF74" i="18" s="1"/>
  <c r="AI74" i="18" s="1"/>
  <c r="AL74" i="18" s="1"/>
  <c r="K522" i="18"/>
  <c r="N522" i="18" s="1"/>
  <c r="Q522" i="18" s="1"/>
  <c r="T522" i="18" s="1"/>
  <c r="W522" i="18" s="1"/>
  <c r="Z522" i="18" s="1"/>
  <c r="AC522" i="18" s="1"/>
  <c r="AF522" i="18" s="1"/>
  <c r="AI522" i="18" s="1"/>
  <c r="AL522" i="18" s="1"/>
  <c r="H522" i="18"/>
  <c r="H457" i="18"/>
  <c r="K457" i="18" s="1"/>
  <c r="N457" i="18" s="1"/>
  <c r="Q457" i="18" s="1"/>
  <c r="T457" i="18" s="1"/>
  <c r="W457" i="18" s="1"/>
  <c r="Z457" i="18" s="1"/>
  <c r="AC457" i="18" s="1"/>
  <c r="AF457" i="18" s="1"/>
  <c r="AI457" i="18" s="1"/>
  <c r="AL457" i="18" s="1"/>
  <c r="H392" i="18"/>
  <c r="K392" i="18" s="1"/>
  <c r="N392" i="18" s="1"/>
  <c r="Q392" i="18" s="1"/>
  <c r="T392" i="18" s="1"/>
  <c r="W392" i="18" s="1"/>
  <c r="Z392" i="18" s="1"/>
  <c r="AC392" i="18" s="1"/>
  <c r="AF392" i="18" s="1"/>
  <c r="AI392" i="18" s="1"/>
  <c r="AL392" i="18" s="1"/>
  <c r="H327" i="18"/>
  <c r="K327" i="18" s="1"/>
  <c r="N327" i="18" s="1"/>
  <c r="Q327" i="18" s="1"/>
  <c r="T327" i="18" s="1"/>
  <c r="W327" i="18" s="1"/>
  <c r="Z327" i="18" s="1"/>
  <c r="AC327" i="18" s="1"/>
  <c r="AF327" i="18" s="1"/>
  <c r="AI327" i="18" s="1"/>
  <c r="AL327" i="18" s="1"/>
  <c r="H262" i="18"/>
  <c r="K262" i="18" s="1"/>
  <c r="N262" i="18" s="1"/>
  <c r="Q262" i="18" s="1"/>
  <c r="T262" i="18" s="1"/>
  <c r="W262" i="18" s="1"/>
  <c r="Z262" i="18" s="1"/>
  <c r="AC262" i="18" s="1"/>
  <c r="AF262" i="18" s="1"/>
  <c r="AI262" i="18" s="1"/>
  <c r="AL262" i="18" s="1"/>
  <c r="H197" i="18"/>
  <c r="K197" i="18" s="1"/>
  <c r="N197" i="18" s="1"/>
  <c r="Q197" i="18" s="1"/>
  <c r="T197" i="18" s="1"/>
  <c r="W197" i="18" s="1"/>
  <c r="Z197" i="18" s="1"/>
  <c r="AC197" i="18" s="1"/>
  <c r="AF197" i="18" s="1"/>
  <c r="AI197" i="18" s="1"/>
  <c r="AL197" i="18" s="1"/>
  <c r="H131" i="18"/>
  <c r="K131" i="18" s="1"/>
  <c r="N131" i="18" s="1"/>
  <c r="Q131" i="18" s="1"/>
  <c r="T131" i="18" s="1"/>
  <c r="W131" i="18" s="1"/>
  <c r="Z131" i="18" s="1"/>
  <c r="AC131" i="18" s="1"/>
  <c r="AF131" i="18" s="1"/>
  <c r="AI131" i="18" s="1"/>
  <c r="AL131" i="18" s="1"/>
  <c r="H66" i="18"/>
  <c r="K66" i="18" s="1"/>
  <c r="N66" i="18" s="1"/>
  <c r="Q66" i="18" s="1"/>
  <c r="T66" i="18" s="1"/>
  <c r="W66" i="18" s="1"/>
  <c r="Z66" i="18" s="1"/>
  <c r="AC66" i="18" s="1"/>
  <c r="AF66" i="18" s="1"/>
  <c r="AI66" i="18" s="1"/>
  <c r="AL66" i="18" s="1"/>
  <c r="H519" i="18"/>
  <c r="K519" i="18" s="1"/>
  <c r="N519" i="18" s="1"/>
  <c r="Q519" i="18" s="1"/>
  <c r="T519" i="18" s="1"/>
  <c r="W519" i="18" s="1"/>
  <c r="Z519" i="18" s="1"/>
  <c r="AC519" i="18" s="1"/>
  <c r="AF519" i="18" s="1"/>
  <c r="AI519" i="18" s="1"/>
  <c r="AL519" i="18" s="1"/>
  <c r="H454" i="18"/>
  <c r="K454" i="18" s="1"/>
  <c r="N454" i="18" s="1"/>
  <c r="Q454" i="18" s="1"/>
  <c r="T454" i="18" s="1"/>
  <c r="W454" i="18" s="1"/>
  <c r="Z454" i="18" s="1"/>
  <c r="AC454" i="18" s="1"/>
  <c r="AF454" i="18" s="1"/>
  <c r="AI454" i="18" s="1"/>
  <c r="AL454" i="18" s="1"/>
  <c r="H389" i="18"/>
  <c r="K389" i="18" s="1"/>
  <c r="N389" i="18" s="1"/>
  <c r="Q389" i="18" s="1"/>
  <c r="T389" i="18" s="1"/>
  <c r="W389" i="18" s="1"/>
  <c r="Z389" i="18" s="1"/>
  <c r="AC389" i="18" s="1"/>
  <c r="AF389" i="18" s="1"/>
  <c r="AI389" i="18" s="1"/>
  <c r="AL389" i="18" s="1"/>
  <c r="H324" i="18"/>
  <c r="K324" i="18" s="1"/>
  <c r="N324" i="18" s="1"/>
  <c r="Q324" i="18" s="1"/>
  <c r="T324" i="18" s="1"/>
  <c r="W324" i="18" s="1"/>
  <c r="Z324" i="18" s="1"/>
  <c r="AC324" i="18" s="1"/>
  <c r="AF324" i="18" s="1"/>
  <c r="AI324" i="18" s="1"/>
  <c r="AL324" i="18" s="1"/>
  <c r="H259" i="18"/>
  <c r="K259" i="18" s="1"/>
  <c r="N259" i="18" s="1"/>
  <c r="Q259" i="18" s="1"/>
  <c r="T259" i="18" s="1"/>
  <c r="W259" i="18" s="1"/>
  <c r="Z259" i="18" s="1"/>
  <c r="AC259" i="18" s="1"/>
  <c r="AF259" i="18" s="1"/>
  <c r="AI259" i="18" s="1"/>
  <c r="AL259" i="18" s="1"/>
  <c r="H194" i="18"/>
  <c r="K194" i="18" s="1"/>
  <c r="N194" i="18" s="1"/>
  <c r="Q194" i="18" s="1"/>
  <c r="T194" i="18" s="1"/>
  <c r="W194" i="18" s="1"/>
  <c r="Z194" i="18" s="1"/>
  <c r="AC194" i="18" s="1"/>
  <c r="AF194" i="18" s="1"/>
  <c r="AI194" i="18" s="1"/>
  <c r="AL194" i="18" s="1"/>
  <c r="H128" i="18"/>
  <c r="K128" i="18" s="1"/>
  <c r="N128" i="18" s="1"/>
  <c r="Q128" i="18" s="1"/>
  <c r="T128" i="18" s="1"/>
  <c r="W128" i="18" s="1"/>
  <c r="Z128" i="18" s="1"/>
  <c r="AC128" i="18" s="1"/>
  <c r="AF128" i="18" s="1"/>
  <c r="AI128" i="18" s="1"/>
  <c r="AL128" i="18" s="1"/>
  <c r="K63" i="18"/>
  <c r="N63" i="18" s="1"/>
  <c r="Q63" i="18" s="1"/>
  <c r="T63" i="18" s="1"/>
  <c r="W63" i="18" s="1"/>
  <c r="Z63" i="18" s="1"/>
  <c r="AC63" i="18" s="1"/>
  <c r="AF63" i="18" s="1"/>
  <c r="AI63" i="18" s="1"/>
  <c r="AL63" i="18" s="1"/>
  <c r="H63" i="18"/>
  <c r="E64" i="18"/>
  <c r="E129" i="18"/>
  <c r="E195" i="18"/>
  <c r="AL195" i="18" s="1"/>
  <c r="E260" i="18"/>
  <c r="E325" i="18"/>
  <c r="E390" i="18"/>
  <c r="AL390" i="18" s="1"/>
  <c r="E520" i="18"/>
  <c r="AL520" i="18" s="1"/>
  <c r="E455" i="18"/>
  <c r="AL455" i="18" s="1"/>
  <c r="AL325" i="18"/>
  <c r="AL260" i="18"/>
  <c r="AL129" i="18"/>
  <c r="AL64" i="18"/>
  <c r="AI64" i="18"/>
  <c r="AF64" i="18"/>
  <c r="AC64" i="18"/>
  <c r="Z64" i="18"/>
  <c r="W64" i="18"/>
  <c r="T64" i="18"/>
  <c r="Q64" i="18"/>
  <c r="N64" i="18"/>
  <c r="K64" i="18"/>
  <c r="H64" i="18"/>
  <c r="L34" i="20" l="1"/>
  <c r="AC520" i="18"/>
  <c r="H520" i="18"/>
  <c r="T520" i="18"/>
  <c r="AF520" i="18"/>
  <c r="K520" i="18"/>
  <c r="W520" i="18"/>
  <c r="AI520" i="18"/>
  <c r="AI534" i="18" s="1"/>
  <c r="Q520" i="18"/>
  <c r="N520" i="18"/>
  <c r="Z520" i="18"/>
  <c r="AC455" i="18"/>
  <c r="H455" i="18"/>
  <c r="T455" i="18"/>
  <c r="AF455" i="18"/>
  <c r="K455" i="18"/>
  <c r="W455" i="18"/>
  <c r="W469" i="18" s="1"/>
  <c r="AI455" i="18"/>
  <c r="Q455" i="18"/>
  <c r="N455" i="18"/>
  <c r="Z455" i="18"/>
  <c r="AF390" i="18"/>
  <c r="Q390" i="18"/>
  <c r="T390" i="18"/>
  <c r="K390" i="18"/>
  <c r="K404" i="18" s="1"/>
  <c r="W390" i="18"/>
  <c r="AI390" i="18"/>
  <c r="AC390" i="18"/>
  <c r="H390" i="18"/>
  <c r="N390" i="18"/>
  <c r="Z390" i="18"/>
  <c r="H325" i="18"/>
  <c r="T325" i="18"/>
  <c r="AF325" i="18"/>
  <c r="Q325" i="18"/>
  <c r="K325" i="18"/>
  <c r="W325" i="18"/>
  <c r="W339" i="18" s="1"/>
  <c r="AI325" i="18"/>
  <c r="AC325" i="18"/>
  <c r="N325" i="18"/>
  <c r="Z325" i="18"/>
  <c r="AC260" i="18"/>
  <c r="H260" i="18"/>
  <c r="T260" i="18"/>
  <c r="AF260" i="18"/>
  <c r="AF274" i="18" s="1"/>
  <c r="Q260" i="18"/>
  <c r="K260" i="18"/>
  <c r="W260" i="18"/>
  <c r="AI260" i="18"/>
  <c r="AI274" i="18" s="1"/>
  <c r="N260" i="18"/>
  <c r="Z260" i="18"/>
  <c r="AC195" i="18"/>
  <c r="H195" i="18"/>
  <c r="H209" i="18" s="1"/>
  <c r="T195" i="18"/>
  <c r="AF195" i="18"/>
  <c r="AF209" i="18" s="1"/>
  <c r="Q195" i="18"/>
  <c r="K195" i="18"/>
  <c r="K209" i="18" s="1"/>
  <c r="W195" i="18"/>
  <c r="AI195" i="18"/>
  <c r="AI209" i="18" s="1"/>
  <c r="N195" i="18"/>
  <c r="Z195" i="18"/>
  <c r="Q129" i="18"/>
  <c r="AC129" i="18"/>
  <c r="H129" i="18"/>
  <c r="T129" i="18"/>
  <c r="AF129" i="18"/>
  <c r="K129" i="18"/>
  <c r="W129" i="18"/>
  <c r="AI129" i="18"/>
  <c r="AI143" i="18" s="1"/>
  <c r="N129" i="18"/>
  <c r="Z129" i="18"/>
  <c r="AL534" i="18"/>
  <c r="A531" i="18"/>
  <c r="A530" i="18"/>
  <c r="AO507" i="18" s="1"/>
  <c r="A529" i="18"/>
  <c r="A528" i="18"/>
  <c r="A527" i="18"/>
  <c r="A526" i="18"/>
  <c r="A525" i="18"/>
  <c r="A524" i="18"/>
  <c r="E523" i="18"/>
  <c r="A523" i="18" s="1"/>
  <c r="A521" i="18"/>
  <c r="Z534" i="18"/>
  <c r="W534" i="18"/>
  <c r="K534" i="18"/>
  <c r="A519" i="18"/>
  <c r="A518" i="18"/>
  <c r="A517" i="18"/>
  <c r="A516" i="18"/>
  <c r="AJ513" i="18"/>
  <c r="AG513" i="18"/>
  <c r="AD513" i="18"/>
  <c r="AA513" i="18"/>
  <c r="X513" i="18"/>
  <c r="U513" i="18"/>
  <c r="R513" i="18"/>
  <c r="O513" i="18"/>
  <c r="L513" i="18"/>
  <c r="I513" i="18"/>
  <c r="F513" i="18"/>
  <c r="C513" i="18"/>
  <c r="AL512" i="18"/>
  <c r="AI512" i="18"/>
  <c r="AF512" i="18"/>
  <c r="AC512" i="18"/>
  <c r="Z512" i="18"/>
  <c r="W512" i="18"/>
  <c r="T512" i="18"/>
  <c r="Q512" i="18"/>
  <c r="N512" i="18"/>
  <c r="K512" i="18"/>
  <c r="H512" i="18"/>
  <c r="E512" i="18"/>
  <c r="B512" i="18"/>
  <c r="AL511" i="18"/>
  <c r="AI511" i="18"/>
  <c r="AF511" i="18"/>
  <c r="AC511" i="18"/>
  <c r="Z511" i="18"/>
  <c r="W511" i="18"/>
  <c r="T511" i="18"/>
  <c r="Q511" i="18"/>
  <c r="N511" i="18"/>
  <c r="K511" i="18"/>
  <c r="H511" i="18"/>
  <c r="E511" i="18"/>
  <c r="B511" i="18"/>
  <c r="AL510" i="18"/>
  <c r="AI510" i="18"/>
  <c r="AF510" i="18"/>
  <c r="AC510" i="18"/>
  <c r="Z510" i="18"/>
  <c r="W510" i="18"/>
  <c r="T510" i="18"/>
  <c r="Q510" i="18"/>
  <c r="N510" i="18"/>
  <c r="K510" i="18"/>
  <c r="H510" i="18"/>
  <c r="E510" i="18"/>
  <c r="B510" i="18"/>
  <c r="AL509" i="18"/>
  <c r="AI509" i="18"/>
  <c r="AF509" i="18"/>
  <c r="AC509" i="18"/>
  <c r="Z509" i="18"/>
  <c r="W509" i="18"/>
  <c r="T509" i="18"/>
  <c r="Q509" i="18"/>
  <c r="N509" i="18"/>
  <c r="K509" i="18"/>
  <c r="H509" i="18"/>
  <c r="E509" i="18"/>
  <c r="B509" i="18"/>
  <c r="AL508" i="18"/>
  <c r="AI508" i="18"/>
  <c r="AF508" i="18"/>
  <c r="AC508" i="18"/>
  <c r="Z508" i="18"/>
  <c r="W508" i="18"/>
  <c r="T508" i="18"/>
  <c r="Q508" i="18"/>
  <c r="N508" i="18"/>
  <c r="K508" i="18"/>
  <c r="H508" i="18"/>
  <c r="E508" i="18"/>
  <c r="B508" i="18"/>
  <c r="AL507" i="18"/>
  <c r="AI507" i="18"/>
  <c r="AF507" i="18"/>
  <c r="AC507" i="18"/>
  <c r="Z507" i="18"/>
  <c r="W507" i="18"/>
  <c r="T507" i="18"/>
  <c r="Q507" i="18"/>
  <c r="N507" i="18"/>
  <c r="K507" i="18"/>
  <c r="H507" i="18"/>
  <c r="E507" i="18"/>
  <c r="B507" i="18"/>
  <c r="AL506" i="18"/>
  <c r="AI506" i="18"/>
  <c r="AF506" i="18"/>
  <c r="AC506" i="18"/>
  <c r="Z506" i="18"/>
  <c r="W506" i="18"/>
  <c r="T506" i="18"/>
  <c r="Q506" i="18"/>
  <c r="N506" i="18"/>
  <c r="K506" i="18"/>
  <c r="H506" i="18"/>
  <c r="E506" i="18"/>
  <c r="B506" i="18"/>
  <c r="A466" i="18"/>
  <c r="A465" i="18"/>
  <c r="AO442" i="18" s="1"/>
  <c r="A464" i="18"/>
  <c r="A463" i="18"/>
  <c r="A462" i="18"/>
  <c r="A461" i="18"/>
  <c r="A460" i="18"/>
  <c r="A459" i="18"/>
  <c r="E458" i="18"/>
  <c r="A458" i="18" s="1"/>
  <c r="A456" i="18"/>
  <c r="AI469" i="18"/>
  <c r="N469" i="18"/>
  <c r="K469" i="18"/>
  <c r="A454" i="18"/>
  <c r="A453" i="18"/>
  <c r="A452" i="18"/>
  <c r="A451" i="18"/>
  <c r="AJ448" i="18"/>
  <c r="AG448" i="18"/>
  <c r="AD448" i="18"/>
  <c r="AA448" i="18"/>
  <c r="X448" i="18"/>
  <c r="U448" i="18"/>
  <c r="R448" i="18"/>
  <c r="O448" i="18"/>
  <c r="L448" i="18"/>
  <c r="I448" i="18"/>
  <c r="F448" i="18"/>
  <c r="C448" i="18"/>
  <c r="AL447" i="18"/>
  <c r="AI447" i="18"/>
  <c r="AF447" i="18"/>
  <c r="AC447" i="18"/>
  <c r="Z447" i="18"/>
  <c r="W447" i="18"/>
  <c r="T447" i="18"/>
  <c r="Q447" i="18"/>
  <c r="N447" i="18"/>
  <c r="K447" i="18"/>
  <c r="H447" i="18"/>
  <c r="E447" i="18"/>
  <c r="B447" i="18"/>
  <c r="AL446" i="18"/>
  <c r="AI446" i="18"/>
  <c r="AF446" i="18"/>
  <c r="AC446" i="18"/>
  <c r="Z446" i="18"/>
  <c r="W446" i="18"/>
  <c r="T446" i="18"/>
  <c r="Q446" i="18"/>
  <c r="N446" i="18"/>
  <c r="K446" i="18"/>
  <c r="H446" i="18"/>
  <c r="E446" i="18"/>
  <c r="B446" i="18"/>
  <c r="AL445" i="18"/>
  <c r="AI445" i="18"/>
  <c r="AF445" i="18"/>
  <c r="AC445" i="18"/>
  <c r="Z445" i="18"/>
  <c r="W445" i="18"/>
  <c r="T445" i="18"/>
  <c r="Q445" i="18"/>
  <c r="N445" i="18"/>
  <c r="K445" i="18"/>
  <c r="H445" i="18"/>
  <c r="E445" i="18"/>
  <c r="B445" i="18"/>
  <c r="AL444" i="18"/>
  <c r="AI444" i="18"/>
  <c r="AF444" i="18"/>
  <c r="AC444" i="18"/>
  <c r="Z444" i="18"/>
  <c r="W444" i="18"/>
  <c r="T444" i="18"/>
  <c r="Q444" i="18"/>
  <c r="N444" i="18"/>
  <c r="K444" i="18"/>
  <c r="H444" i="18"/>
  <c r="E444" i="18"/>
  <c r="B444" i="18"/>
  <c r="AL443" i="18"/>
  <c r="AI443" i="18"/>
  <c r="AF443" i="18"/>
  <c r="AC443" i="18"/>
  <c r="Z443" i="18"/>
  <c r="W443" i="18"/>
  <c r="T443" i="18"/>
  <c r="Q443" i="18"/>
  <c r="N443" i="18"/>
  <c r="K443" i="18"/>
  <c r="H443" i="18"/>
  <c r="E443" i="18"/>
  <c r="B443" i="18"/>
  <c r="AL442" i="18"/>
  <c r="AI442" i="18"/>
  <c r="AF442" i="18"/>
  <c r="AC442" i="18"/>
  <c r="Z442" i="18"/>
  <c r="W442" i="18"/>
  <c r="T442" i="18"/>
  <c r="Q442" i="18"/>
  <c r="N442" i="18"/>
  <c r="K442" i="18"/>
  <c r="H442" i="18"/>
  <c r="E442" i="18"/>
  <c r="B442" i="18"/>
  <c r="AL441" i="18"/>
  <c r="AI441" i="18"/>
  <c r="AF441" i="18"/>
  <c r="AC441" i="18"/>
  <c r="Z441" i="18"/>
  <c r="W441" i="18"/>
  <c r="T441" i="18"/>
  <c r="Q441" i="18"/>
  <c r="N441" i="18"/>
  <c r="K441" i="18"/>
  <c r="H441" i="18"/>
  <c r="E441" i="18"/>
  <c r="B441" i="18"/>
  <c r="A401" i="18"/>
  <c r="A400" i="18"/>
  <c r="AO377" i="18" s="1"/>
  <c r="A399" i="18"/>
  <c r="A398" i="18"/>
  <c r="A397" i="18"/>
  <c r="A396" i="18"/>
  <c r="A395" i="18"/>
  <c r="A394" i="18"/>
  <c r="E393" i="18"/>
  <c r="A393" i="18" s="1"/>
  <c r="A391" i="18"/>
  <c r="AI404" i="18"/>
  <c r="Z404" i="18"/>
  <c r="W404" i="18"/>
  <c r="A389" i="18"/>
  <c r="A388" i="18"/>
  <c r="A387" i="18"/>
  <c r="A386" i="18"/>
  <c r="AJ383" i="18"/>
  <c r="AG383" i="18"/>
  <c r="AD383" i="18"/>
  <c r="AA383" i="18"/>
  <c r="X383" i="18"/>
  <c r="U383" i="18"/>
  <c r="R383" i="18"/>
  <c r="O383" i="18"/>
  <c r="L383" i="18"/>
  <c r="I383" i="18"/>
  <c r="F383" i="18"/>
  <c r="C383" i="18"/>
  <c r="AL382" i="18"/>
  <c r="AI382" i="18"/>
  <c r="AF382" i="18"/>
  <c r="AC382" i="18"/>
  <c r="Z382" i="18"/>
  <c r="W382" i="18"/>
  <c r="T382" i="18"/>
  <c r="Q382" i="18"/>
  <c r="N382" i="18"/>
  <c r="K382" i="18"/>
  <c r="H382" i="18"/>
  <c r="E382" i="18"/>
  <c r="B382" i="18"/>
  <c r="AL381" i="18"/>
  <c r="AI381" i="18"/>
  <c r="AF381" i="18"/>
  <c r="AC381" i="18"/>
  <c r="Z381" i="18"/>
  <c r="W381" i="18"/>
  <c r="T381" i="18"/>
  <c r="Q381" i="18"/>
  <c r="N381" i="18"/>
  <c r="K381" i="18"/>
  <c r="H381" i="18"/>
  <c r="E381" i="18"/>
  <c r="B381" i="18"/>
  <c r="AL380" i="18"/>
  <c r="AI380" i="18"/>
  <c r="AF380" i="18"/>
  <c r="AC380" i="18"/>
  <c r="Z380" i="18"/>
  <c r="W380" i="18"/>
  <c r="T380" i="18"/>
  <c r="Q380" i="18"/>
  <c r="N380" i="18"/>
  <c r="K380" i="18"/>
  <c r="H380" i="18"/>
  <c r="E380" i="18"/>
  <c r="B380" i="18"/>
  <c r="AL379" i="18"/>
  <c r="AI379" i="18"/>
  <c r="AF379" i="18"/>
  <c r="AC379" i="18"/>
  <c r="Z379" i="18"/>
  <c r="W379" i="18"/>
  <c r="T379" i="18"/>
  <c r="Q379" i="18"/>
  <c r="N379" i="18"/>
  <c r="K379" i="18"/>
  <c r="H379" i="18"/>
  <c r="E379" i="18"/>
  <c r="B379" i="18"/>
  <c r="AL378" i="18"/>
  <c r="AI378" i="18"/>
  <c r="AF378" i="18"/>
  <c r="AC378" i="18"/>
  <c r="Z378" i="18"/>
  <c r="W378" i="18"/>
  <c r="T378" i="18"/>
  <c r="Q378" i="18"/>
  <c r="N378" i="18"/>
  <c r="K378" i="18"/>
  <c r="H378" i="18"/>
  <c r="E378" i="18"/>
  <c r="B378" i="18"/>
  <c r="AL377" i="18"/>
  <c r="AI377" i="18"/>
  <c r="AF377" i="18"/>
  <c r="AC377" i="18"/>
  <c r="Z377" i="18"/>
  <c r="W377" i="18"/>
  <c r="T377" i="18"/>
  <c r="Q377" i="18"/>
  <c r="N377" i="18"/>
  <c r="K377" i="18"/>
  <c r="H377" i="18"/>
  <c r="E377" i="18"/>
  <c r="B377" i="18"/>
  <c r="AL376" i="18"/>
  <c r="AI376" i="18"/>
  <c r="AF376" i="18"/>
  <c r="AC376" i="18"/>
  <c r="Z376" i="18"/>
  <c r="W376" i="18"/>
  <c r="T376" i="18"/>
  <c r="Q376" i="18"/>
  <c r="N376" i="18"/>
  <c r="K376" i="18"/>
  <c r="H376" i="18"/>
  <c r="E376" i="18"/>
  <c r="B376" i="18"/>
  <c r="A336" i="18"/>
  <c r="A335" i="18"/>
  <c r="AO312" i="18" s="1"/>
  <c r="A334" i="18"/>
  <c r="A333" i="18"/>
  <c r="A332" i="18"/>
  <c r="A331" i="18"/>
  <c r="A330" i="18"/>
  <c r="A329" i="18"/>
  <c r="E328" i="18"/>
  <c r="A328" i="18" s="1"/>
  <c r="A326" i="18"/>
  <c r="AI339" i="18"/>
  <c r="K339" i="18"/>
  <c r="A324" i="18"/>
  <c r="A323" i="18"/>
  <c r="A322" i="18"/>
  <c r="A321" i="18"/>
  <c r="AJ318" i="18"/>
  <c r="AG318" i="18"/>
  <c r="AD318" i="18"/>
  <c r="AA318" i="18"/>
  <c r="X318" i="18"/>
  <c r="U318" i="18"/>
  <c r="R318" i="18"/>
  <c r="O318" i="18"/>
  <c r="L318" i="18"/>
  <c r="I318" i="18"/>
  <c r="F318" i="18"/>
  <c r="C318" i="18"/>
  <c r="AL317" i="18"/>
  <c r="AI317" i="18"/>
  <c r="AF317" i="18"/>
  <c r="AC317" i="18"/>
  <c r="Z317" i="18"/>
  <c r="W317" i="18"/>
  <c r="T317" i="18"/>
  <c r="Q317" i="18"/>
  <c r="N317" i="18"/>
  <c r="K317" i="18"/>
  <c r="H317" i="18"/>
  <c r="E317" i="18"/>
  <c r="B317" i="18"/>
  <c r="AL316" i="18"/>
  <c r="AI316" i="18"/>
  <c r="AF316" i="18"/>
  <c r="AC316" i="18"/>
  <c r="Z316" i="18"/>
  <c r="W316" i="18"/>
  <c r="T316" i="18"/>
  <c r="Q316" i="18"/>
  <c r="N316" i="18"/>
  <c r="K316" i="18"/>
  <c r="H316" i="18"/>
  <c r="E316" i="18"/>
  <c r="B316" i="18"/>
  <c r="AL315" i="18"/>
  <c r="AI315" i="18"/>
  <c r="AF315" i="18"/>
  <c r="AC315" i="18"/>
  <c r="Z315" i="18"/>
  <c r="W315" i="18"/>
  <c r="T315" i="18"/>
  <c r="Q315" i="18"/>
  <c r="N315" i="18"/>
  <c r="K315" i="18"/>
  <c r="H315" i="18"/>
  <c r="E315" i="18"/>
  <c r="B315" i="18"/>
  <c r="AL314" i="18"/>
  <c r="AI314" i="18"/>
  <c r="AF314" i="18"/>
  <c r="AC314" i="18"/>
  <c r="Z314" i="18"/>
  <c r="W314" i="18"/>
  <c r="T314" i="18"/>
  <c r="Q314" i="18"/>
  <c r="N314" i="18"/>
  <c r="K314" i="18"/>
  <c r="H314" i="18"/>
  <c r="E314" i="18"/>
  <c r="B314" i="18"/>
  <c r="AL313" i="18"/>
  <c r="AI313" i="18"/>
  <c r="AF313" i="18"/>
  <c r="AC313" i="18"/>
  <c r="Z313" i="18"/>
  <c r="W313" i="18"/>
  <c r="T313" i="18"/>
  <c r="Q313" i="18"/>
  <c r="N313" i="18"/>
  <c r="K313" i="18"/>
  <c r="H313" i="18"/>
  <c r="E313" i="18"/>
  <c r="B313" i="18"/>
  <c r="AL312" i="18"/>
  <c r="AI312" i="18"/>
  <c r="AF312" i="18"/>
  <c r="AC312" i="18"/>
  <c r="Z312" i="18"/>
  <c r="W312" i="18"/>
  <c r="T312" i="18"/>
  <c r="Q312" i="18"/>
  <c r="N312" i="18"/>
  <c r="K312" i="18"/>
  <c r="H312" i="18"/>
  <c r="E312" i="18"/>
  <c r="B312" i="18"/>
  <c r="AL311" i="18"/>
  <c r="AI311" i="18"/>
  <c r="AF311" i="18"/>
  <c r="AC311" i="18"/>
  <c r="Z311" i="18"/>
  <c r="W311" i="18"/>
  <c r="T311" i="18"/>
  <c r="Q311" i="18"/>
  <c r="N311" i="18"/>
  <c r="K311" i="18"/>
  <c r="H311" i="18"/>
  <c r="E311" i="18"/>
  <c r="B311" i="18"/>
  <c r="A271" i="18"/>
  <c r="A270" i="18"/>
  <c r="AO247" i="18" s="1"/>
  <c r="A269" i="18"/>
  <c r="A268" i="18"/>
  <c r="A267" i="18"/>
  <c r="A266" i="18"/>
  <c r="A265" i="18"/>
  <c r="A264" i="18"/>
  <c r="E263" i="18"/>
  <c r="A263" i="18" s="1"/>
  <c r="A261" i="18"/>
  <c r="AC274" i="18"/>
  <c r="W274" i="18"/>
  <c r="T274" i="18"/>
  <c r="Q274" i="18"/>
  <c r="K274" i="18"/>
  <c r="H274" i="18"/>
  <c r="A259" i="18"/>
  <c r="A258" i="18"/>
  <c r="A257" i="18"/>
  <c r="A256" i="18"/>
  <c r="AJ253" i="18"/>
  <c r="AG253" i="18"/>
  <c r="AD253" i="18"/>
  <c r="AA253" i="18"/>
  <c r="X253" i="18"/>
  <c r="U253" i="18"/>
  <c r="R253" i="18"/>
  <c r="O253" i="18"/>
  <c r="L253" i="18"/>
  <c r="I253" i="18"/>
  <c r="F253" i="18"/>
  <c r="C253" i="18"/>
  <c r="AL252" i="18"/>
  <c r="AI252" i="18"/>
  <c r="AF252" i="18"/>
  <c r="AC252" i="18"/>
  <c r="Z252" i="18"/>
  <c r="W252" i="18"/>
  <c r="T252" i="18"/>
  <c r="Q252" i="18"/>
  <c r="N252" i="18"/>
  <c r="K252" i="18"/>
  <c r="H252" i="18"/>
  <c r="E252" i="18"/>
  <c r="B252" i="18"/>
  <c r="AL251" i="18"/>
  <c r="AI251" i="18"/>
  <c r="AF251" i="18"/>
  <c r="AC251" i="18"/>
  <c r="Z251" i="18"/>
  <c r="W251" i="18"/>
  <c r="T251" i="18"/>
  <c r="Q251" i="18"/>
  <c r="N251" i="18"/>
  <c r="K251" i="18"/>
  <c r="H251" i="18"/>
  <c r="E251" i="18"/>
  <c r="B251" i="18"/>
  <c r="AL250" i="18"/>
  <c r="AI250" i="18"/>
  <c r="AF250" i="18"/>
  <c r="AC250" i="18"/>
  <c r="Z250" i="18"/>
  <c r="W250" i="18"/>
  <c r="T250" i="18"/>
  <c r="Q250" i="18"/>
  <c r="N250" i="18"/>
  <c r="K250" i="18"/>
  <c r="H250" i="18"/>
  <c r="E250" i="18"/>
  <c r="B250" i="18"/>
  <c r="AL249" i="18"/>
  <c r="AI249" i="18"/>
  <c r="AF249" i="18"/>
  <c r="AC249" i="18"/>
  <c r="Z249" i="18"/>
  <c r="W249" i="18"/>
  <c r="T249" i="18"/>
  <c r="Q249" i="18"/>
  <c r="N249" i="18"/>
  <c r="K249" i="18"/>
  <c r="H249" i="18"/>
  <c r="E249" i="18"/>
  <c r="B249" i="18"/>
  <c r="AL248" i="18"/>
  <c r="AI248" i="18"/>
  <c r="AF248" i="18"/>
  <c r="AC248" i="18"/>
  <c r="Z248" i="18"/>
  <c r="W248" i="18"/>
  <c r="T248" i="18"/>
  <c r="Q248" i="18"/>
  <c r="N248" i="18"/>
  <c r="K248" i="18"/>
  <c r="H248" i="18"/>
  <c r="E248" i="18"/>
  <c r="B248" i="18"/>
  <c r="AL247" i="18"/>
  <c r="AI247" i="18"/>
  <c r="AF247" i="18"/>
  <c r="AC247" i="18"/>
  <c r="Z247" i="18"/>
  <c r="W247" i="18"/>
  <c r="T247" i="18"/>
  <c r="Q247" i="18"/>
  <c r="N247" i="18"/>
  <c r="K247" i="18"/>
  <c r="H247" i="18"/>
  <c r="E247" i="18"/>
  <c r="B247" i="18"/>
  <c r="AL246" i="18"/>
  <c r="AI246" i="18"/>
  <c r="AF246" i="18"/>
  <c r="AC246" i="18"/>
  <c r="Z246" i="18"/>
  <c r="W246" i="18"/>
  <c r="T246" i="18"/>
  <c r="Q246" i="18"/>
  <c r="N246" i="18"/>
  <c r="K246" i="18"/>
  <c r="H246" i="18"/>
  <c r="E246" i="18"/>
  <c r="B246" i="18"/>
  <c r="A206" i="18"/>
  <c r="A205" i="18"/>
  <c r="AO182" i="18" s="1"/>
  <c r="A204" i="18"/>
  <c r="A203" i="18"/>
  <c r="A202" i="18"/>
  <c r="A201" i="18"/>
  <c r="A200" i="18"/>
  <c r="A199" i="18"/>
  <c r="E198" i="18"/>
  <c r="A198" i="18" s="1"/>
  <c r="A196" i="18"/>
  <c r="AL209" i="18"/>
  <c r="AC209" i="18"/>
  <c r="W209" i="18"/>
  <c r="T209" i="18"/>
  <c r="Q209" i="18"/>
  <c r="A194" i="18"/>
  <c r="A193" i="18"/>
  <c r="A192" i="18"/>
  <c r="A191" i="18"/>
  <c r="AJ188" i="18"/>
  <c r="AG188" i="18"/>
  <c r="AD188" i="18"/>
  <c r="AA188" i="18"/>
  <c r="X188" i="18"/>
  <c r="U188" i="18"/>
  <c r="R188" i="18"/>
  <c r="O188" i="18"/>
  <c r="L188" i="18"/>
  <c r="I188" i="18"/>
  <c r="F188" i="18"/>
  <c r="C188" i="18"/>
  <c r="AL187" i="18"/>
  <c r="AI187" i="18"/>
  <c r="AF187" i="18"/>
  <c r="AC187" i="18"/>
  <c r="Z187" i="18"/>
  <c r="W187" i="18"/>
  <c r="T187" i="18"/>
  <c r="Q187" i="18"/>
  <c r="N187" i="18"/>
  <c r="K187" i="18"/>
  <c r="H187" i="18"/>
  <c r="E187" i="18"/>
  <c r="B187" i="18"/>
  <c r="AL186" i="18"/>
  <c r="AI186" i="18"/>
  <c r="AF186" i="18"/>
  <c r="AC186" i="18"/>
  <c r="Z186" i="18"/>
  <c r="W186" i="18"/>
  <c r="T186" i="18"/>
  <c r="Q186" i="18"/>
  <c r="N186" i="18"/>
  <c r="K186" i="18"/>
  <c r="H186" i="18"/>
  <c r="E186" i="18"/>
  <c r="B186" i="18"/>
  <c r="AL185" i="18"/>
  <c r="AI185" i="18"/>
  <c r="AF185" i="18"/>
  <c r="AC185" i="18"/>
  <c r="Z185" i="18"/>
  <c r="W185" i="18"/>
  <c r="T185" i="18"/>
  <c r="Q185" i="18"/>
  <c r="N185" i="18"/>
  <c r="K185" i="18"/>
  <c r="H185" i="18"/>
  <c r="E185" i="18"/>
  <c r="B185" i="18"/>
  <c r="AL184" i="18"/>
  <c r="AI184" i="18"/>
  <c r="AF184" i="18"/>
  <c r="AC184" i="18"/>
  <c r="Z184" i="18"/>
  <c r="W184" i="18"/>
  <c r="T184" i="18"/>
  <c r="Q184" i="18"/>
  <c r="N184" i="18"/>
  <c r="K184" i="18"/>
  <c r="H184" i="18"/>
  <c r="E184" i="18"/>
  <c r="B184" i="18"/>
  <c r="AL183" i="18"/>
  <c r="AI183" i="18"/>
  <c r="AF183" i="18"/>
  <c r="AC183" i="18"/>
  <c r="Z183" i="18"/>
  <c r="W183" i="18"/>
  <c r="T183" i="18"/>
  <c r="Q183" i="18"/>
  <c r="N183" i="18"/>
  <c r="K183" i="18"/>
  <c r="H183" i="18"/>
  <c r="E183" i="18"/>
  <c r="B183" i="18"/>
  <c r="AL182" i="18"/>
  <c r="AI182" i="18"/>
  <c r="AF182" i="18"/>
  <c r="AC182" i="18"/>
  <c r="Z182" i="18"/>
  <c r="W182" i="18"/>
  <c r="T182" i="18"/>
  <c r="Q182" i="18"/>
  <c r="N182" i="18"/>
  <c r="K182" i="18"/>
  <c r="H182" i="18"/>
  <c r="E182" i="18"/>
  <c r="B182" i="18"/>
  <c r="AL181" i="18"/>
  <c r="AI181" i="18"/>
  <c r="AF181" i="18"/>
  <c r="AC181" i="18"/>
  <c r="Z181" i="18"/>
  <c r="W181" i="18"/>
  <c r="T181" i="18"/>
  <c r="Q181" i="18"/>
  <c r="N181" i="18"/>
  <c r="K181" i="18"/>
  <c r="H181" i="18"/>
  <c r="E181" i="18"/>
  <c r="B181" i="18"/>
  <c r="A140" i="18"/>
  <c r="A139" i="18"/>
  <c r="AO116" i="18" s="1"/>
  <c r="A138" i="18"/>
  <c r="A137" i="18"/>
  <c r="A136" i="18"/>
  <c r="A135" i="18"/>
  <c r="A134" i="18"/>
  <c r="A133" i="18"/>
  <c r="E132" i="18"/>
  <c r="A132" i="18" s="1"/>
  <c r="A130" i="18"/>
  <c r="AL143" i="18"/>
  <c r="AC143" i="18"/>
  <c r="Z143" i="18"/>
  <c r="W143" i="18"/>
  <c r="Q143" i="18"/>
  <c r="N143" i="18"/>
  <c r="K143" i="18"/>
  <c r="A128" i="18"/>
  <c r="A127" i="18"/>
  <c r="A126" i="18"/>
  <c r="A125" i="18"/>
  <c r="AJ122" i="18"/>
  <c r="AG122" i="18"/>
  <c r="AD122" i="18"/>
  <c r="AA122" i="18"/>
  <c r="X122" i="18"/>
  <c r="U122" i="18"/>
  <c r="R122" i="18"/>
  <c r="O122" i="18"/>
  <c r="L122" i="18"/>
  <c r="I122" i="18"/>
  <c r="F122" i="18"/>
  <c r="C122" i="18"/>
  <c r="AL121" i="18"/>
  <c r="AI121" i="18"/>
  <c r="AF121" i="18"/>
  <c r="AC121" i="18"/>
  <c r="Z121" i="18"/>
  <c r="W121" i="18"/>
  <c r="T121" i="18"/>
  <c r="Q121" i="18"/>
  <c r="N121" i="18"/>
  <c r="K121" i="18"/>
  <c r="H121" i="18"/>
  <c r="E121" i="18"/>
  <c r="B121" i="18"/>
  <c r="AL120" i="18"/>
  <c r="AI120" i="18"/>
  <c r="AF120" i="18"/>
  <c r="AC120" i="18"/>
  <c r="Z120" i="18"/>
  <c r="W120" i="18"/>
  <c r="T120" i="18"/>
  <c r="Q120" i="18"/>
  <c r="N120" i="18"/>
  <c r="K120" i="18"/>
  <c r="H120" i="18"/>
  <c r="E120" i="18"/>
  <c r="B120" i="18"/>
  <c r="AL119" i="18"/>
  <c r="AI119" i="18"/>
  <c r="AF119" i="18"/>
  <c r="AC119" i="18"/>
  <c r="Z119" i="18"/>
  <c r="W119" i="18"/>
  <c r="T119" i="18"/>
  <c r="Q119" i="18"/>
  <c r="N119" i="18"/>
  <c r="K119" i="18"/>
  <c r="H119" i="18"/>
  <c r="E119" i="18"/>
  <c r="B119" i="18"/>
  <c r="AL118" i="18"/>
  <c r="AI118" i="18"/>
  <c r="AF118" i="18"/>
  <c r="AC118" i="18"/>
  <c r="Z118" i="18"/>
  <c r="W118" i="18"/>
  <c r="T118" i="18"/>
  <c r="Q118" i="18"/>
  <c r="N118" i="18"/>
  <c r="K118" i="18"/>
  <c r="H118" i="18"/>
  <c r="E118" i="18"/>
  <c r="B118" i="18"/>
  <c r="AL117" i="18"/>
  <c r="AI117" i="18"/>
  <c r="AF117" i="18"/>
  <c r="AC117" i="18"/>
  <c r="Z117" i="18"/>
  <c r="W117" i="18"/>
  <c r="T117" i="18"/>
  <c r="Q117" i="18"/>
  <c r="N117" i="18"/>
  <c r="K117" i="18"/>
  <c r="H117" i="18"/>
  <c r="E117" i="18"/>
  <c r="B117" i="18"/>
  <c r="AL116" i="18"/>
  <c r="AI116" i="18"/>
  <c r="AF116" i="18"/>
  <c r="AC116" i="18"/>
  <c r="Z116" i="18"/>
  <c r="W116" i="18"/>
  <c r="T116" i="18"/>
  <c r="Q116" i="18"/>
  <c r="N116" i="18"/>
  <c r="K116" i="18"/>
  <c r="H116" i="18"/>
  <c r="E116" i="18"/>
  <c r="B116" i="18"/>
  <c r="AL115" i="18"/>
  <c r="AI115" i="18"/>
  <c r="AF115" i="18"/>
  <c r="AC115" i="18"/>
  <c r="Z115" i="18"/>
  <c r="W115" i="18"/>
  <c r="T115" i="18"/>
  <c r="Q115" i="18"/>
  <c r="N115" i="18"/>
  <c r="K115" i="18"/>
  <c r="H115" i="18"/>
  <c r="E115" i="18"/>
  <c r="B115" i="18"/>
  <c r="AL45" i="18"/>
  <c r="AI45" i="18"/>
  <c r="AF45" i="18"/>
  <c r="AC45" i="18"/>
  <c r="Z45" i="18"/>
  <c r="W45" i="18"/>
  <c r="T45" i="18"/>
  <c r="Q45" i="18"/>
  <c r="N45" i="18"/>
  <c r="K45" i="18"/>
  <c r="H45" i="18"/>
  <c r="E45" i="18"/>
  <c r="AL44" i="18"/>
  <c r="AI44" i="18"/>
  <c r="AF44" i="18"/>
  <c r="AC44" i="18"/>
  <c r="Z44" i="18"/>
  <c r="W44" i="18"/>
  <c r="T44" i="18"/>
  <c r="Q44" i="18"/>
  <c r="N44" i="18"/>
  <c r="K44" i="18"/>
  <c r="H44" i="18"/>
  <c r="E44" i="18"/>
  <c r="AL46" i="18"/>
  <c r="AK46" i="18"/>
  <c r="AL43" i="18"/>
  <c r="AK42" i="18"/>
  <c r="AJ42" i="18"/>
  <c r="AL42" i="18" s="1"/>
  <c r="AK41" i="18"/>
  <c r="AJ41" i="18"/>
  <c r="AL40" i="18"/>
  <c r="AK40" i="18"/>
  <c r="AL39" i="18"/>
  <c r="AK39" i="18"/>
  <c r="AK38" i="18"/>
  <c r="AL37" i="18"/>
  <c r="AK37" i="18"/>
  <c r="AL36" i="18"/>
  <c r="AK36" i="18"/>
  <c r="AL35" i="18"/>
  <c r="AK35" i="18"/>
  <c r="AL34" i="18"/>
  <c r="AK34" i="18"/>
  <c r="AL33" i="18"/>
  <c r="AK33" i="18"/>
  <c r="AL32" i="18"/>
  <c r="AK32" i="18"/>
  <c r="AL31" i="18"/>
  <c r="AK31" i="18"/>
  <c r="AL30" i="18"/>
  <c r="AK30" i="18"/>
  <c r="AL29" i="18"/>
  <c r="AK29" i="18"/>
  <c r="AL28" i="18"/>
  <c r="AK28" i="18"/>
  <c r="AL27" i="18"/>
  <c r="AK27" i="18"/>
  <c r="AL26" i="18"/>
  <c r="AK26" i="18"/>
  <c r="AL25" i="18"/>
  <c r="AK25" i="18"/>
  <c r="AL24" i="18"/>
  <c r="AK24" i="18"/>
  <c r="AL23" i="18"/>
  <c r="AK23" i="18"/>
  <c r="AL22" i="18"/>
  <c r="AK22" i="18"/>
  <c r="AL21" i="18"/>
  <c r="AK21" i="18"/>
  <c r="AI46" i="18"/>
  <c r="AH46" i="18"/>
  <c r="AI43" i="18"/>
  <c r="AH42" i="18"/>
  <c r="AG42" i="18"/>
  <c r="AI42" i="18" s="1"/>
  <c r="AH41" i="18"/>
  <c r="AG41" i="18"/>
  <c r="AI40" i="18"/>
  <c r="AH40" i="18"/>
  <c r="AI39" i="18"/>
  <c r="AH39" i="18"/>
  <c r="AH38" i="18"/>
  <c r="AI37" i="18"/>
  <c r="AH37" i="18"/>
  <c r="AI36" i="18"/>
  <c r="AH36" i="18"/>
  <c r="AI35" i="18"/>
  <c r="AH35" i="18"/>
  <c r="AI34" i="18"/>
  <c r="AH34" i="18"/>
  <c r="AI33" i="18"/>
  <c r="AH33" i="18"/>
  <c r="AI32" i="18"/>
  <c r="AH32" i="18"/>
  <c r="AI31" i="18"/>
  <c r="AH31" i="18"/>
  <c r="AI30" i="18"/>
  <c r="AH30" i="18"/>
  <c r="AI29" i="18"/>
  <c r="AH29" i="18"/>
  <c r="AI28" i="18"/>
  <c r="AH28" i="18"/>
  <c r="AI27" i="18"/>
  <c r="AH27" i="18"/>
  <c r="AI26" i="18"/>
  <c r="AH26" i="18"/>
  <c r="AI25" i="18"/>
  <c r="AH25" i="18"/>
  <c r="AI24" i="18"/>
  <c r="AH24" i="18"/>
  <c r="AI23" i="18"/>
  <c r="AH23" i="18"/>
  <c r="AI22" i="18"/>
  <c r="AH22" i="18"/>
  <c r="AI21" i="18"/>
  <c r="AH21" i="18"/>
  <c r="AF46" i="18"/>
  <c r="AE46" i="18"/>
  <c r="AF43" i="18"/>
  <c r="AE42" i="18"/>
  <c r="AD42" i="18"/>
  <c r="AF42" i="18" s="1"/>
  <c r="AE41" i="18"/>
  <c r="AD41" i="18"/>
  <c r="AF40" i="18"/>
  <c r="AE40" i="18"/>
  <c r="AF39" i="18"/>
  <c r="AE39" i="18"/>
  <c r="AE38" i="18"/>
  <c r="AF37" i="18"/>
  <c r="AE37" i="18"/>
  <c r="AF36" i="18"/>
  <c r="AE36" i="18"/>
  <c r="AF35" i="18"/>
  <c r="AE35" i="18"/>
  <c r="AF34" i="18"/>
  <c r="AE34" i="18"/>
  <c r="AF33" i="18"/>
  <c r="AE33" i="18"/>
  <c r="AF32" i="18"/>
  <c r="AE32" i="18"/>
  <c r="AF31" i="18"/>
  <c r="AE31" i="18"/>
  <c r="AF30" i="18"/>
  <c r="AE30" i="18"/>
  <c r="AF29" i="18"/>
  <c r="AE29" i="18"/>
  <c r="AF28" i="18"/>
  <c r="AE28" i="18"/>
  <c r="AF27" i="18"/>
  <c r="AE27" i="18"/>
  <c r="AF26" i="18"/>
  <c r="AE26" i="18"/>
  <c r="AF25" i="18"/>
  <c r="AE25" i="18"/>
  <c r="AF24" i="18"/>
  <c r="AE24" i="18"/>
  <c r="AF23" i="18"/>
  <c r="AE23" i="18"/>
  <c r="AF22" i="18"/>
  <c r="AE22" i="18"/>
  <c r="AF21" i="18"/>
  <c r="AE21" i="18"/>
  <c r="AC46" i="18"/>
  <c r="AB46" i="18"/>
  <c r="AC43" i="18"/>
  <c r="AB42" i="18"/>
  <c r="AA42" i="18"/>
  <c r="AC42" i="18" s="1"/>
  <c r="AB41" i="18"/>
  <c r="AA41" i="18"/>
  <c r="AC40" i="18"/>
  <c r="AB40" i="18"/>
  <c r="AC39" i="18"/>
  <c r="AB39" i="18"/>
  <c r="AB38" i="18"/>
  <c r="AC37" i="18"/>
  <c r="AB37" i="18"/>
  <c r="AC36" i="18"/>
  <c r="AB36" i="18"/>
  <c r="AC35" i="18"/>
  <c r="AB35" i="18"/>
  <c r="AC34" i="18"/>
  <c r="AB34" i="18"/>
  <c r="AC33" i="18"/>
  <c r="AB33" i="18"/>
  <c r="AC32" i="18"/>
  <c r="AB32" i="18"/>
  <c r="AC31" i="18"/>
  <c r="AB31" i="18"/>
  <c r="AC30" i="18"/>
  <c r="AB30" i="18"/>
  <c r="AC29" i="18"/>
  <c r="AB29" i="18"/>
  <c r="AC28" i="18"/>
  <c r="AB28" i="18"/>
  <c r="AC27" i="18"/>
  <c r="AB27" i="18"/>
  <c r="AC26" i="18"/>
  <c r="AB26" i="18"/>
  <c r="AC25" i="18"/>
  <c r="AB25" i="18"/>
  <c r="AC24" i="18"/>
  <c r="AB24" i="18"/>
  <c r="AC23" i="18"/>
  <c r="AB23" i="18"/>
  <c r="AC22" i="18"/>
  <c r="AB22" i="18"/>
  <c r="AC21" i="18"/>
  <c r="AB21" i="18"/>
  <c r="Z46" i="18"/>
  <c r="Y46" i="18"/>
  <c r="Z43" i="18"/>
  <c r="Y42" i="18"/>
  <c r="X42" i="18"/>
  <c r="Z42" i="18" s="1"/>
  <c r="Y41" i="18"/>
  <c r="X41" i="18"/>
  <c r="Z40" i="18"/>
  <c r="Y40" i="18"/>
  <c r="Z39" i="18"/>
  <c r="Y39" i="18"/>
  <c r="Y38" i="18"/>
  <c r="Z37" i="18"/>
  <c r="Y37" i="18"/>
  <c r="Z36" i="18"/>
  <c r="Y36" i="18"/>
  <c r="Z35" i="18"/>
  <c r="Y35" i="18"/>
  <c r="Z34" i="18"/>
  <c r="Y34" i="18"/>
  <c r="Z33" i="18"/>
  <c r="Y33" i="18"/>
  <c r="Z32" i="18"/>
  <c r="Y32" i="18"/>
  <c r="Z31" i="18"/>
  <c r="Y31" i="18"/>
  <c r="Z30" i="18"/>
  <c r="Y30" i="18"/>
  <c r="Z29" i="18"/>
  <c r="Y29" i="18"/>
  <c r="Z28" i="18"/>
  <c r="Y28" i="18"/>
  <c r="Z27" i="18"/>
  <c r="Y27" i="18"/>
  <c r="Z26" i="18"/>
  <c r="Y26" i="18"/>
  <c r="Z25" i="18"/>
  <c r="Y25" i="18"/>
  <c r="Z24" i="18"/>
  <c r="Y24" i="18"/>
  <c r="Z23" i="18"/>
  <c r="Y23" i="18"/>
  <c r="Z22" i="18"/>
  <c r="Y22" i="18"/>
  <c r="Z21" i="18"/>
  <c r="Y21" i="18"/>
  <c r="W46" i="18"/>
  <c r="V46" i="18"/>
  <c r="W43" i="18"/>
  <c r="V42" i="18"/>
  <c r="U42" i="18"/>
  <c r="W42" i="18" s="1"/>
  <c r="V41" i="18"/>
  <c r="U41" i="18"/>
  <c r="W40" i="18"/>
  <c r="V40" i="18"/>
  <c r="W39" i="18"/>
  <c r="V39" i="18"/>
  <c r="V38" i="18"/>
  <c r="W37" i="18"/>
  <c r="V37" i="18"/>
  <c r="W36" i="18"/>
  <c r="V36" i="18"/>
  <c r="W35" i="18"/>
  <c r="V35" i="18"/>
  <c r="W34" i="18"/>
  <c r="V34" i="18"/>
  <c r="W33" i="18"/>
  <c r="V33" i="18"/>
  <c r="W32" i="18"/>
  <c r="V32" i="18"/>
  <c r="W31" i="18"/>
  <c r="V31" i="18"/>
  <c r="W30" i="18"/>
  <c r="V30" i="18"/>
  <c r="W29" i="18"/>
  <c r="V29" i="18"/>
  <c r="W28" i="18"/>
  <c r="V28" i="18"/>
  <c r="W27" i="18"/>
  <c r="V27" i="18"/>
  <c r="W26" i="18"/>
  <c r="V26" i="18"/>
  <c r="W25" i="18"/>
  <c r="V25" i="18"/>
  <c r="W24" i="18"/>
  <c r="V24" i="18"/>
  <c r="W23" i="18"/>
  <c r="V23" i="18"/>
  <c r="W22" i="18"/>
  <c r="V22" i="18"/>
  <c r="W21" i="18"/>
  <c r="V21" i="18"/>
  <c r="T46" i="18"/>
  <c r="S46" i="18"/>
  <c r="T43" i="18"/>
  <c r="S42" i="18"/>
  <c r="R42" i="18"/>
  <c r="T42" i="18" s="1"/>
  <c r="S41" i="18"/>
  <c r="R41" i="18"/>
  <c r="T40" i="18"/>
  <c r="S40" i="18"/>
  <c r="T39" i="18"/>
  <c r="S39" i="18"/>
  <c r="S38" i="18"/>
  <c r="T37" i="18"/>
  <c r="S37" i="18"/>
  <c r="T36" i="18"/>
  <c r="S36" i="18"/>
  <c r="T35" i="18"/>
  <c r="S35" i="18"/>
  <c r="T34" i="18"/>
  <c r="S34" i="18"/>
  <c r="T33" i="18"/>
  <c r="S33" i="18"/>
  <c r="T32" i="18"/>
  <c r="S32" i="18"/>
  <c r="T31" i="18"/>
  <c r="S31" i="18"/>
  <c r="T30" i="18"/>
  <c r="S30" i="18"/>
  <c r="T29" i="18"/>
  <c r="S29" i="18"/>
  <c r="T28" i="18"/>
  <c r="S28" i="18"/>
  <c r="T27" i="18"/>
  <c r="S27" i="18"/>
  <c r="T26" i="18"/>
  <c r="S26" i="18"/>
  <c r="T25" i="18"/>
  <c r="S25" i="18"/>
  <c r="T24" i="18"/>
  <c r="S24" i="18"/>
  <c r="T23" i="18"/>
  <c r="S23" i="18"/>
  <c r="T22" i="18"/>
  <c r="S22" i="18"/>
  <c r="T21" i="18"/>
  <c r="S21" i="18"/>
  <c r="Q46" i="18"/>
  <c r="P46" i="18"/>
  <c r="Q43" i="18"/>
  <c r="P42" i="18"/>
  <c r="O42" i="18"/>
  <c r="Q42" i="18" s="1"/>
  <c r="P41" i="18"/>
  <c r="O41" i="18"/>
  <c r="Q40" i="18"/>
  <c r="P40" i="18"/>
  <c r="Q39" i="18"/>
  <c r="P39" i="18"/>
  <c r="P38" i="18"/>
  <c r="Q37" i="18"/>
  <c r="P37" i="18"/>
  <c r="Q36" i="18"/>
  <c r="P36" i="18"/>
  <c r="Q35" i="18"/>
  <c r="P35" i="18"/>
  <c r="Q34" i="18"/>
  <c r="P34" i="18"/>
  <c r="Q33" i="18"/>
  <c r="P33" i="18"/>
  <c r="Q32" i="18"/>
  <c r="P32" i="18"/>
  <c r="Q31" i="18"/>
  <c r="P31" i="18"/>
  <c r="Q30" i="18"/>
  <c r="P30" i="18"/>
  <c r="Q29" i="18"/>
  <c r="P29" i="18"/>
  <c r="Q28" i="18"/>
  <c r="P28" i="18"/>
  <c r="Q27" i="18"/>
  <c r="P27" i="18"/>
  <c r="Q26" i="18"/>
  <c r="P26" i="18"/>
  <c r="Q25" i="18"/>
  <c r="P25" i="18"/>
  <c r="Q24" i="18"/>
  <c r="P24" i="18"/>
  <c r="Q23" i="18"/>
  <c r="P23" i="18"/>
  <c r="Q22" i="18"/>
  <c r="P22" i="18"/>
  <c r="Q21" i="18"/>
  <c r="P21" i="18"/>
  <c r="N46" i="18"/>
  <c r="M46" i="18"/>
  <c r="N43" i="18"/>
  <c r="M42" i="18"/>
  <c r="L42" i="18"/>
  <c r="N42" i="18" s="1"/>
  <c r="M41" i="18"/>
  <c r="L41" i="18"/>
  <c r="N40" i="18"/>
  <c r="M40" i="18"/>
  <c r="N39" i="18"/>
  <c r="M39" i="18"/>
  <c r="M38" i="18"/>
  <c r="N37" i="18"/>
  <c r="M37" i="18"/>
  <c r="N36" i="18"/>
  <c r="M36" i="18"/>
  <c r="N35" i="18"/>
  <c r="M35" i="18"/>
  <c r="N34" i="18"/>
  <c r="M34" i="18"/>
  <c r="N33" i="18"/>
  <c r="M33" i="18"/>
  <c r="N32" i="18"/>
  <c r="M32" i="18"/>
  <c r="N31" i="18"/>
  <c r="M31" i="18"/>
  <c r="N30" i="18"/>
  <c r="M30" i="18"/>
  <c r="N29" i="18"/>
  <c r="M29" i="18"/>
  <c r="N28" i="18"/>
  <c r="M28" i="18"/>
  <c r="N27" i="18"/>
  <c r="M27" i="18"/>
  <c r="N26" i="18"/>
  <c r="M26" i="18"/>
  <c r="N25" i="18"/>
  <c r="M25" i="18"/>
  <c r="N24" i="18"/>
  <c r="M24" i="18"/>
  <c r="N23" i="18"/>
  <c r="M23" i="18"/>
  <c r="N22" i="18"/>
  <c r="M22" i="18"/>
  <c r="N21" i="18"/>
  <c r="M21" i="18"/>
  <c r="K46" i="18"/>
  <c r="J46" i="18"/>
  <c r="K43" i="18"/>
  <c r="J42" i="18"/>
  <c r="I42" i="18"/>
  <c r="K42" i="18" s="1"/>
  <c r="J41" i="18"/>
  <c r="I41" i="18"/>
  <c r="K40" i="18"/>
  <c r="J40" i="18"/>
  <c r="K39" i="18"/>
  <c r="J39" i="18"/>
  <c r="J38" i="18"/>
  <c r="K37" i="18"/>
  <c r="J37" i="18"/>
  <c r="K36" i="18"/>
  <c r="J36" i="18"/>
  <c r="K35" i="18"/>
  <c r="J35" i="18"/>
  <c r="K34" i="18"/>
  <c r="J34" i="18"/>
  <c r="K33" i="18"/>
  <c r="J33" i="18"/>
  <c r="K32" i="18"/>
  <c r="J32" i="18"/>
  <c r="K31" i="18"/>
  <c r="J31" i="18"/>
  <c r="K30" i="18"/>
  <c r="J30" i="18"/>
  <c r="K29" i="18"/>
  <c r="J29" i="18"/>
  <c r="K28" i="18"/>
  <c r="J28" i="18"/>
  <c r="K27" i="18"/>
  <c r="J27" i="18"/>
  <c r="K26" i="18"/>
  <c r="J26" i="18"/>
  <c r="K25" i="18"/>
  <c r="J25" i="18"/>
  <c r="K24" i="18"/>
  <c r="J24" i="18"/>
  <c r="K23" i="18"/>
  <c r="J23" i="18"/>
  <c r="K22" i="18"/>
  <c r="J22" i="18"/>
  <c r="K21" i="18"/>
  <c r="J21" i="18"/>
  <c r="H46" i="18"/>
  <c r="G46" i="18"/>
  <c r="H43" i="18"/>
  <c r="G42" i="18"/>
  <c r="F42" i="18"/>
  <c r="H42" i="18" s="1"/>
  <c r="G41" i="18"/>
  <c r="F41" i="18"/>
  <c r="H40" i="18"/>
  <c r="G40" i="18"/>
  <c r="H39" i="18"/>
  <c r="G39" i="18"/>
  <c r="G38" i="18"/>
  <c r="H37" i="18"/>
  <c r="G37" i="18"/>
  <c r="H36" i="18"/>
  <c r="G36" i="18"/>
  <c r="H35" i="18"/>
  <c r="G35" i="18"/>
  <c r="H34" i="18"/>
  <c r="G34" i="18"/>
  <c r="H33" i="18"/>
  <c r="G33" i="18"/>
  <c r="H32" i="18"/>
  <c r="G32" i="18"/>
  <c r="H31" i="18"/>
  <c r="G31" i="18"/>
  <c r="H30" i="18"/>
  <c r="G30" i="18"/>
  <c r="H29" i="18"/>
  <c r="G29" i="18"/>
  <c r="H28" i="18"/>
  <c r="G28" i="18"/>
  <c r="H27" i="18"/>
  <c r="G27" i="18"/>
  <c r="H26" i="18"/>
  <c r="G26" i="18"/>
  <c r="H25" i="18"/>
  <c r="G25" i="18"/>
  <c r="H24" i="18"/>
  <c r="G24" i="18"/>
  <c r="H23" i="18"/>
  <c r="G23" i="18"/>
  <c r="H22" i="18"/>
  <c r="G22" i="18"/>
  <c r="H21" i="18"/>
  <c r="G21" i="18"/>
  <c r="AL78" i="18"/>
  <c r="Z78" i="18"/>
  <c r="H78" i="18"/>
  <c r="E67" i="18"/>
  <c r="A67" i="18" s="1"/>
  <c r="A60" i="18"/>
  <c r="A75" i="18"/>
  <c r="A74" i="18"/>
  <c r="AO51" i="18" s="1"/>
  <c r="A73" i="18"/>
  <c r="A72" i="18"/>
  <c r="A71" i="18"/>
  <c r="A70" i="18"/>
  <c r="A69" i="18"/>
  <c r="A68" i="18"/>
  <c r="A65" i="18"/>
  <c r="A63" i="18"/>
  <c r="A62" i="18"/>
  <c r="A61" i="18"/>
  <c r="B50" i="18"/>
  <c r="AL56" i="18"/>
  <c r="AI56" i="18"/>
  <c r="AF56" i="18"/>
  <c r="AC56" i="18"/>
  <c r="Z56" i="18"/>
  <c r="W56" i="18"/>
  <c r="T56" i="18"/>
  <c r="Q56" i="18"/>
  <c r="N56" i="18"/>
  <c r="K56" i="18"/>
  <c r="H56" i="18"/>
  <c r="E56" i="18"/>
  <c r="AL55" i="18"/>
  <c r="AI55" i="18"/>
  <c r="AF55" i="18"/>
  <c r="AC55" i="18"/>
  <c r="Z55" i="18"/>
  <c r="W55" i="18"/>
  <c r="T55" i="18"/>
  <c r="Q55" i="18"/>
  <c r="N55" i="18"/>
  <c r="K55" i="18"/>
  <c r="H55" i="18"/>
  <c r="E55" i="18"/>
  <c r="AL54" i="18"/>
  <c r="AI54" i="18"/>
  <c r="AF54" i="18"/>
  <c r="AC54" i="18"/>
  <c r="Z54" i="18"/>
  <c r="W54" i="18"/>
  <c r="T54" i="18"/>
  <c r="Q54" i="18"/>
  <c r="N54" i="18"/>
  <c r="K54" i="18"/>
  <c r="H54" i="18"/>
  <c r="E54" i="18"/>
  <c r="AL53" i="18"/>
  <c r="AI53" i="18"/>
  <c r="AF53" i="18"/>
  <c r="AC53" i="18"/>
  <c r="Z53" i="18"/>
  <c r="W53" i="18"/>
  <c r="T53" i="18"/>
  <c r="Q53" i="18"/>
  <c r="N53" i="18"/>
  <c r="K53" i="18"/>
  <c r="H53" i="18"/>
  <c r="E53" i="18"/>
  <c r="AL52" i="18"/>
  <c r="AI52" i="18"/>
  <c r="AF52" i="18"/>
  <c r="AC52" i="18"/>
  <c r="Z52" i="18"/>
  <c r="W52" i="18"/>
  <c r="T52" i="18"/>
  <c r="Q52" i="18"/>
  <c r="N52" i="18"/>
  <c r="K52" i="18"/>
  <c r="H52" i="18"/>
  <c r="E52" i="18"/>
  <c r="AL51" i="18"/>
  <c r="AI51" i="18"/>
  <c r="AF51" i="18"/>
  <c r="AC51" i="18"/>
  <c r="Z51" i="18"/>
  <c r="W51" i="18"/>
  <c r="T51" i="18"/>
  <c r="Q51" i="18"/>
  <c r="N51" i="18"/>
  <c r="K51" i="18"/>
  <c r="H51" i="18"/>
  <c r="E51" i="18"/>
  <c r="B56" i="18"/>
  <c r="B55" i="18"/>
  <c r="B54" i="18"/>
  <c r="B53" i="18"/>
  <c r="B52" i="18"/>
  <c r="B51" i="18"/>
  <c r="AJ57" i="18"/>
  <c r="AG57" i="18"/>
  <c r="AD57" i="18"/>
  <c r="AA57" i="18"/>
  <c r="X57" i="18"/>
  <c r="U57" i="18"/>
  <c r="R57" i="18"/>
  <c r="O57" i="18"/>
  <c r="L57" i="18"/>
  <c r="I57" i="18"/>
  <c r="F57" i="18"/>
  <c r="C57" i="18"/>
  <c r="AL50" i="18"/>
  <c r="AI50" i="18"/>
  <c r="AF50" i="18"/>
  <c r="AC50" i="18"/>
  <c r="Z50" i="18"/>
  <c r="W50" i="18"/>
  <c r="T50" i="18"/>
  <c r="Q50" i="18"/>
  <c r="N50" i="18"/>
  <c r="K50" i="18"/>
  <c r="H50" i="18"/>
  <c r="E50" i="18"/>
  <c r="E57" i="18" s="1"/>
  <c r="E27" i="19"/>
  <c r="D27" i="19"/>
  <c r="C27" i="19"/>
  <c r="M26" i="19"/>
  <c r="L26" i="19"/>
  <c r="I26" i="19"/>
  <c r="H26" i="19"/>
  <c r="F26" i="19"/>
  <c r="F25" i="19"/>
  <c r="G24" i="19"/>
  <c r="F24" i="19"/>
  <c r="N24" i="19" s="1"/>
  <c r="F23" i="19"/>
  <c r="N23" i="19" s="1"/>
  <c r="F22" i="19"/>
  <c r="N22" i="19" s="1"/>
  <c r="D21" i="19"/>
  <c r="F21" i="19" s="1"/>
  <c r="N21" i="19" s="1"/>
  <c r="F20" i="19"/>
  <c r="N20" i="19" s="1"/>
  <c r="D19" i="19"/>
  <c r="D15" i="19"/>
  <c r="AI472" i="18" l="1"/>
  <c r="H212" i="18"/>
  <c r="W472" i="18"/>
  <c r="H513" i="18"/>
  <c r="T513" i="18"/>
  <c r="AF513" i="18"/>
  <c r="A507" i="18"/>
  <c r="Q513" i="18"/>
  <c r="AC513" i="18"/>
  <c r="A510" i="18"/>
  <c r="A511" i="18"/>
  <c r="K472" i="18"/>
  <c r="H277" i="18"/>
  <c r="W537" i="18"/>
  <c r="E78" i="18"/>
  <c r="A455" i="18"/>
  <c r="W513" i="18"/>
  <c r="A520" i="18"/>
  <c r="E448" i="18"/>
  <c r="Q448" i="18"/>
  <c r="AC448" i="18"/>
  <c r="A442" i="18"/>
  <c r="A445" i="18"/>
  <c r="A446" i="18"/>
  <c r="N513" i="18"/>
  <c r="Z513" i="18"/>
  <c r="Z537" i="18" s="1"/>
  <c r="AL513" i="18"/>
  <c r="AL537" i="18" s="1"/>
  <c r="A508" i="18"/>
  <c r="A509" i="18"/>
  <c r="A512" i="18"/>
  <c r="E534" i="18"/>
  <c r="K513" i="18"/>
  <c r="K537" i="18" s="1"/>
  <c r="AI513" i="18"/>
  <c r="AI537" i="18" s="1"/>
  <c r="N534" i="18"/>
  <c r="N537" i="18" s="1"/>
  <c r="H448" i="18"/>
  <c r="AF448" i="18"/>
  <c r="A506" i="18"/>
  <c r="E513" i="18"/>
  <c r="Q534" i="18"/>
  <c r="Q537" i="18" s="1"/>
  <c r="K448" i="18"/>
  <c r="W448" i="18"/>
  <c r="AI448" i="18"/>
  <c r="A443" i="18"/>
  <c r="A444" i="18"/>
  <c r="A447" i="18"/>
  <c r="H534" i="18"/>
  <c r="T534" i="18"/>
  <c r="AF534" i="18"/>
  <c r="T448" i="18"/>
  <c r="AC534" i="18"/>
  <c r="N448" i="18"/>
  <c r="N472" i="18" s="1"/>
  <c r="Z448" i="18"/>
  <c r="AL448" i="18"/>
  <c r="E469" i="18"/>
  <c r="E472" i="18" s="1"/>
  <c r="Z469" i="18"/>
  <c r="Z472" i="18" s="1"/>
  <c r="A441" i="18"/>
  <c r="Q469" i="18"/>
  <c r="Q472" i="18" s="1"/>
  <c r="AC469" i="18"/>
  <c r="AC472" i="18" s="1"/>
  <c r="AL469" i="18"/>
  <c r="H469" i="18"/>
  <c r="T469" i="18"/>
  <c r="AF469" i="18"/>
  <c r="A390" i="18"/>
  <c r="E209" i="18"/>
  <c r="A325" i="18"/>
  <c r="H383" i="18"/>
  <c r="T383" i="18"/>
  <c r="AF383" i="18"/>
  <c r="A377" i="18"/>
  <c r="Q383" i="18"/>
  <c r="AC383" i="18"/>
  <c r="A380" i="18"/>
  <c r="A381" i="18"/>
  <c r="K383" i="18"/>
  <c r="K407" i="18" s="1"/>
  <c r="W383" i="18"/>
  <c r="W407" i="18" s="1"/>
  <c r="AI383" i="18"/>
  <c r="AI407" i="18" s="1"/>
  <c r="E318" i="18"/>
  <c r="Q318" i="18"/>
  <c r="AC318" i="18"/>
  <c r="A312" i="18"/>
  <c r="A315" i="18"/>
  <c r="A316" i="18"/>
  <c r="N383" i="18"/>
  <c r="Z383" i="18"/>
  <c r="Z407" i="18" s="1"/>
  <c r="AL383" i="18"/>
  <c r="A378" i="18"/>
  <c r="A379" i="18"/>
  <c r="A382" i="18"/>
  <c r="E404" i="18"/>
  <c r="N404" i="18"/>
  <c r="N407" i="18" s="1"/>
  <c r="AL404" i="18"/>
  <c r="AL407" i="18" s="1"/>
  <c r="H143" i="18"/>
  <c r="H318" i="18"/>
  <c r="T318" i="18"/>
  <c r="AF318" i="18"/>
  <c r="A376" i="18"/>
  <c r="E383" i="18"/>
  <c r="Q404" i="18"/>
  <c r="AC404" i="18"/>
  <c r="AC407" i="18" s="1"/>
  <c r="E274" i="18"/>
  <c r="T143" i="18"/>
  <c r="K318" i="18"/>
  <c r="K342" i="18" s="1"/>
  <c r="W318" i="18"/>
  <c r="W342" i="18" s="1"/>
  <c r="AI318" i="18"/>
  <c r="AI342" i="18" s="1"/>
  <c r="A313" i="18"/>
  <c r="A314" i="18"/>
  <c r="H404" i="18"/>
  <c r="T404" i="18"/>
  <c r="AF404" i="18"/>
  <c r="AF78" i="18"/>
  <c r="E143" i="18"/>
  <c r="N253" i="18"/>
  <c r="Z253" i="18"/>
  <c r="AL253" i="18"/>
  <c r="T78" i="18"/>
  <c r="AF143" i="18"/>
  <c r="N318" i="18"/>
  <c r="Z318" i="18"/>
  <c r="AL318" i="18"/>
  <c r="A317" i="18"/>
  <c r="E339" i="18"/>
  <c r="Z339" i="18"/>
  <c r="Z342" i="18" s="1"/>
  <c r="E253" i="18"/>
  <c r="Q253" i="18"/>
  <c r="Q277" i="18" s="1"/>
  <c r="AC253" i="18"/>
  <c r="AC277" i="18" s="1"/>
  <c r="A249" i="18"/>
  <c r="A250" i="18"/>
  <c r="K78" i="18"/>
  <c r="W78" i="18"/>
  <c r="AI78" i="18"/>
  <c r="A311" i="18"/>
  <c r="Q339" i="18"/>
  <c r="Q342" i="18" s="1"/>
  <c r="AC339" i="18"/>
  <c r="AC342" i="18" s="1"/>
  <c r="N339" i="18"/>
  <c r="N342" i="18" s="1"/>
  <c r="AL339" i="18"/>
  <c r="N78" i="18"/>
  <c r="N209" i="18"/>
  <c r="Z209" i="18"/>
  <c r="Z212" i="18" s="1"/>
  <c r="N274" i="18"/>
  <c r="N277" i="18" s="1"/>
  <c r="Z274" i="18"/>
  <c r="Z277" i="18" s="1"/>
  <c r="AL274" i="18"/>
  <c r="AL277" i="18" s="1"/>
  <c r="H339" i="18"/>
  <c r="T339" i="18"/>
  <c r="AF339" i="18"/>
  <c r="E188" i="18"/>
  <c r="Q188" i="18"/>
  <c r="Q212" i="18" s="1"/>
  <c r="AC188" i="18"/>
  <c r="AC212" i="18" s="1"/>
  <c r="A184" i="18"/>
  <c r="A185" i="18"/>
  <c r="K253" i="18"/>
  <c r="K277" i="18" s="1"/>
  <c r="W253" i="18"/>
  <c r="W277" i="18" s="1"/>
  <c r="AI253" i="18"/>
  <c r="AI277" i="18" s="1"/>
  <c r="A247" i="18"/>
  <c r="T253" i="18"/>
  <c r="T277" i="18" s="1"/>
  <c r="AF253" i="18"/>
  <c r="AF277" i="18" s="1"/>
  <c r="A248" i="18"/>
  <c r="A251" i="18"/>
  <c r="A252" i="18"/>
  <c r="Q78" i="18"/>
  <c r="AC78" i="18"/>
  <c r="H253" i="18"/>
  <c r="K188" i="18"/>
  <c r="K212" i="18" s="1"/>
  <c r="W188" i="18"/>
  <c r="W212" i="18" s="1"/>
  <c r="AI188" i="18"/>
  <c r="AI212" i="18" s="1"/>
  <c r="H188" i="18"/>
  <c r="T188" i="18"/>
  <c r="T212" i="18" s="1"/>
  <c r="AF188" i="18"/>
  <c r="AF212" i="18" s="1"/>
  <c r="A183" i="18"/>
  <c r="A186" i="18"/>
  <c r="A187" i="18"/>
  <c r="A260" i="18"/>
  <c r="K57" i="18"/>
  <c r="W57" i="18"/>
  <c r="AI57" i="18"/>
  <c r="N188" i="18"/>
  <c r="Z188" i="18"/>
  <c r="AL188" i="18"/>
  <c r="AL212" i="18" s="1"/>
  <c r="A246" i="18"/>
  <c r="A182" i="18"/>
  <c r="AJ47" i="18"/>
  <c r="A195" i="18"/>
  <c r="I47" i="18"/>
  <c r="A181" i="18"/>
  <c r="H122" i="18"/>
  <c r="T122" i="18"/>
  <c r="AF122" i="18"/>
  <c r="A116" i="18"/>
  <c r="Q122" i="18"/>
  <c r="Q146" i="18" s="1"/>
  <c r="AC122" i="18"/>
  <c r="AC146" i="18" s="1"/>
  <c r="A119" i="18"/>
  <c r="A120" i="18"/>
  <c r="K122" i="18"/>
  <c r="K146" i="18" s="1"/>
  <c r="W122" i="18"/>
  <c r="W146" i="18" s="1"/>
  <c r="AI122" i="18"/>
  <c r="AI146" i="18" s="1"/>
  <c r="A129" i="18"/>
  <c r="N122" i="18"/>
  <c r="N146" i="18" s="1"/>
  <c r="Z122" i="18"/>
  <c r="Z146" i="18" s="1"/>
  <c r="AL122" i="18"/>
  <c r="AL146" i="18" s="1"/>
  <c r="A117" i="18"/>
  <c r="A118" i="18"/>
  <c r="A121" i="18"/>
  <c r="E122" i="18"/>
  <c r="A115" i="18"/>
  <c r="U47" i="18"/>
  <c r="X47" i="18"/>
  <c r="AA47" i="18"/>
  <c r="AD47" i="18"/>
  <c r="AG47" i="18"/>
  <c r="AC57" i="18"/>
  <c r="L47" i="18"/>
  <c r="O47" i="18"/>
  <c r="R47" i="18"/>
  <c r="F47" i="18"/>
  <c r="A45" i="18"/>
  <c r="A44" i="18"/>
  <c r="AL41" i="18"/>
  <c r="AI41" i="18"/>
  <c r="AF41" i="18"/>
  <c r="AC41" i="18"/>
  <c r="Z41" i="18"/>
  <c r="W41" i="18"/>
  <c r="T41" i="18"/>
  <c r="Q41" i="18"/>
  <c r="N41" i="18"/>
  <c r="K41" i="18"/>
  <c r="H41" i="18"/>
  <c r="E43" i="18"/>
  <c r="A43" i="18" s="1"/>
  <c r="Q57" i="18"/>
  <c r="N57" i="18"/>
  <c r="Z57" i="18"/>
  <c r="Z81" i="18" s="1"/>
  <c r="AL57" i="18"/>
  <c r="AL81" i="18" s="1"/>
  <c r="H57" i="18"/>
  <c r="H81" i="18" s="1"/>
  <c r="T57" i="18"/>
  <c r="AF57" i="18"/>
  <c r="A64" i="18"/>
  <c r="A50" i="18"/>
  <c r="A55" i="18"/>
  <c r="A56" i="18"/>
  <c r="A54" i="18"/>
  <c r="A51" i="18"/>
  <c r="A52" i="18"/>
  <c r="A53" i="18"/>
  <c r="N27" i="19"/>
  <c r="F27" i="19"/>
  <c r="G22" i="19"/>
  <c r="J26" i="19"/>
  <c r="N26" i="19"/>
  <c r="G26" i="19"/>
  <c r="O26" i="19" s="1"/>
  <c r="K26" i="19"/>
  <c r="G25" i="19"/>
  <c r="O25" i="19" s="1"/>
  <c r="H25" i="19"/>
  <c r="L25" i="19"/>
  <c r="I25" i="19"/>
  <c r="M25" i="19"/>
  <c r="J25" i="19"/>
  <c r="N25" i="19"/>
  <c r="K25" i="19"/>
  <c r="G21" i="19"/>
  <c r="O21" i="19" s="1"/>
  <c r="H21" i="19"/>
  <c r="H22" i="19"/>
  <c r="K24" i="19"/>
  <c r="G20" i="19"/>
  <c r="K21" i="19"/>
  <c r="K22" i="19"/>
  <c r="K27" i="19" s="1"/>
  <c r="K20" i="19"/>
  <c r="L21" i="19"/>
  <c r="L22" i="19"/>
  <c r="G23" i="19"/>
  <c r="L20" i="19"/>
  <c r="H23" i="19"/>
  <c r="H24" i="19"/>
  <c r="O24" i="19" s="1"/>
  <c r="I20" i="19"/>
  <c r="M20" i="19"/>
  <c r="I21" i="19"/>
  <c r="M21" i="19"/>
  <c r="I22" i="19"/>
  <c r="I27" i="19" s="1"/>
  <c r="M22" i="19"/>
  <c r="M27" i="19" s="1"/>
  <c r="I23" i="19"/>
  <c r="M23" i="19"/>
  <c r="I24" i="19"/>
  <c r="M24" i="19"/>
  <c r="K23" i="19"/>
  <c r="H20" i="19"/>
  <c r="L23" i="19"/>
  <c r="L24" i="19"/>
  <c r="J20" i="19"/>
  <c r="J21" i="19"/>
  <c r="J22" i="19"/>
  <c r="J23" i="19"/>
  <c r="J24" i="19"/>
  <c r="F19" i="19"/>
  <c r="N212" i="18" l="1"/>
  <c r="Q407" i="18"/>
  <c r="AC537" i="18"/>
  <c r="AL342" i="18"/>
  <c r="AL472" i="18"/>
  <c r="A448" i="18"/>
  <c r="T537" i="18"/>
  <c r="AF537" i="18"/>
  <c r="H537" i="18"/>
  <c r="H472" i="18"/>
  <c r="AF472" i="18"/>
  <c r="T472" i="18"/>
  <c r="T407" i="18"/>
  <c r="H407" i="18"/>
  <c r="AF407" i="18"/>
  <c r="AF342" i="18"/>
  <c r="T342" i="18"/>
  <c r="H342" i="18"/>
  <c r="E277" i="18"/>
  <c r="T146" i="18"/>
  <c r="AF146" i="18"/>
  <c r="H146" i="18"/>
  <c r="AI81" i="18"/>
  <c r="AF81" i="18"/>
  <c r="AC81" i="18"/>
  <c r="W81" i="18"/>
  <c r="T81" i="18"/>
  <c r="Q81" i="18"/>
  <c r="N81" i="18"/>
  <c r="K81" i="18"/>
  <c r="A534" i="18"/>
  <c r="E537" i="18"/>
  <c r="A513" i="18"/>
  <c r="E212" i="18"/>
  <c r="A212" i="18" s="1"/>
  <c r="A469" i="18"/>
  <c r="E342" i="18"/>
  <c r="A404" i="18"/>
  <c r="A318" i="18"/>
  <c r="A274" i="18"/>
  <c r="E407" i="18"/>
  <c r="A383" i="18"/>
  <c r="A209" i="18"/>
  <c r="A143" i="18"/>
  <c r="A253" i="18"/>
  <c r="A188" i="18"/>
  <c r="A339" i="18"/>
  <c r="E81" i="18"/>
  <c r="E146" i="18"/>
  <c r="A122" i="18"/>
  <c r="A78" i="18"/>
  <c r="A57" i="18"/>
  <c r="O20" i="19"/>
  <c r="G27" i="19"/>
  <c r="J27" i="19"/>
  <c r="L27" i="19"/>
  <c r="O22" i="19"/>
  <c r="O27" i="19" s="1"/>
  <c r="H27" i="19"/>
  <c r="O23" i="19"/>
  <c r="M19" i="19"/>
  <c r="J19" i="19"/>
  <c r="H19" i="19"/>
  <c r="K19" i="19"/>
  <c r="N19" i="19"/>
  <c r="I19" i="19"/>
  <c r="L19" i="19"/>
  <c r="G19" i="19"/>
  <c r="A342" i="18" l="1"/>
  <c r="A81" i="18"/>
  <c r="A537" i="18"/>
  <c r="A472" i="18"/>
  <c r="A146" i="18"/>
  <c r="A407" i="18"/>
  <c r="A277" i="18"/>
  <c r="O19" i="19"/>
  <c r="K481" i="18" l="1"/>
  <c r="R366" i="18" l="1"/>
  <c r="U366" i="18"/>
  <c r="W366" i="18" s="1"/>
  <c r="R368" i="18"/>
  <c r="T368" i="18" s="1"/>
  <c r="O368" i="18"/>
  <c r="Q368" i="18" s="1"/>
  <c r="O498" i="18"/>
  <c r="R367" i="18"/>
  <c r="O367" i="18"/>
  <c r="L367" i="18"/>
  <c r="AJ436" i="18"/>
  <c r="AG436" i="18"/>
  <c r="AA436" i="18"/>
  <c r="X436" i="18"/>
  <c r="U436" i="18"/>
  <c r="R436" i="18"/>
  <c r="O436" i="18"/>
  <c r="L436" i="18"/>
  <c r="I436" i="18"/>
  <c r="F436" i="18"/>
  <c r="AJ365" i="18"/>
  <c r="AG365" i="18"/>
  <c r="AG373" i="18" s="1"/>
  <c r="AD365" i="18"/>
  <c r="AA365" i="18"/>
  <c r="X365" i="18"/>
  <c r="U365" i="18"/>
  <c r="W365" i="18" s="1"/>
  <c r="R365" i="18"/>
  <c r="O365" i="18"/>
  <c r="L365" i="18"/>
  <c r="N365" i="18" s="1"/>
  <c r="L364" i="18"/>
  <c r="L373" i="18" s="1"/>
  <c r="I365" i="18"/>
  <c r="I364" i="18"/>
  <c r="F365" i="18"/>
  <c r="H365" i="18" s="1"/>
  <c r="F364" i="18"/>
  <c r="F373" i="18" s="1"/>
  <c r="C365" i="18"/>
  <c r="C364" i="18"/>
  <c r="AJ371" i="18"/>
  <c r="AL371" i="18" s="1"/>
  <c r="AJ370" i="18"/>
  <c r="AL370" i="18" s="1"/>
  <c r="AG371" i="18"/>
  <c r="AG370" i="18"/>
  <c r="AD371" i="18"/>
  <c r="AF371" i="18" s="1"/>
  <c r="AD370" i="18"/>
  <c r="AF370" i="18" s="1"/>
  <c r="AA371" i="18"/>
  <c r="AA370" i="18"/>
  <c r="X371" i="18"/>
  <c r="Z371" i="18" s="1"/>
  <c r="X370" i="18"/>
  <c r="Z370" i="18" s="1"/>
  <c r="U371" i="18"/>
  <c r="U370" i="18"/>
  <c r="U364" i="18"/>
  <c r="R371" i="18"/>
  <c r="T371" i="18" s="1"/>
  <c r="R370" i="18"/>
  <c r="R369" i="18"/>
  <c r="R364" i="18"/>
  <c r="O371" i="18"/>
  <c r="Q371" i="18" s="1"/>
  <c r="O370" i="18"/>
  <c r="O369" i="18"/>
  <c r="O366" i="18"/>
  <c r="Q366" i="18" s="1"/>
  <c r="O364" i="18"/>
  <c r="O373" i="18" s="1"/>
  <c r="L371" i="18"/>
  <c r="L370" i="18"/>
  <c r="L369" i="18"/>
  <c r="N369" i="18" s="1"/>
  <c r="I371" i="18"/>
  <c r="K371" i="18" s="1"/>
  <c r="I370" i="18"/>
  <c r="F371" i="18"/>
  <c r="F370" i="18"/>
  <c r="H370" i="18" s="1"/>
  <c r="C371" i="18"/>
  <c r="E371" i="18" s="1"/>
  <c r="C370" i="18"/>
  <c r="X488" i="18"/>
  <c r="U488" i="18"/>
  <c r="R488" i="18"/>
  <c r="O488" i="18"/>
  <c r="I488" i="18"/>
  <c r="L488" i="18"/>
  <c r="C488" i="18"/>
  <c r="F488" i="18"/>
  <c r="C436" i="18"/>
  <c r="C435" i="18"/>
  <c r="C430" i="18"/>
  <c r="C429" i="18"/>
  <c r="F435" i="18"/>
  <c r="F430" i="18"/>
  <c r="F429" i="18"/>
  <c r="F438" i="18" s="1"/>
  <c r="I435" i="18"/>
  <c r="I430" i="18"/>
  <c r="I429" i="18"/>
  <c r="L435" i="18"/>
  <c r="L434" i="18"/>
  <c r="L432" i="18"/>
  <c r="L430" i="18"/>
  <c r="L429" i="18"/>
  <c r="L438" i="18" s="1"/>
  <c r="O435" i="18"/>
  <c r="O434" i="18"/>
  <c r="O433" i="18"/>
  <c r="O432" i="18"/>
  <c r="O430" i="18"/>
  <c r="O429" i="18"/>
  <c r="R435" i="18"/>
  <c r="R434" i="18"/>
  <c r="R433" i="18"/>
  <c r="R432" i="18"/>
  <c r="R430" i="18"/>
  <c r="R429" i="18"/>
  <c r="R438" i="18" s="1"/>
  <c r="U435" i="18"/>
  <c r="U431" i="18"/>
  <c r="U430" i="18"/>
  <c r="U429" i="18"/>
  <c r="U438" i="18" s="1"/>
  <c r="X435" i="18"/>
  <c r="X431" i="18"/>
  <c r="X430" i="18"/>
  <c r="X429" i="18"/>
  <c r="X438" i="18" s="1"/>
  <c r="AA435" i="18"/>
  <c r="AA431" i="18"/>
  <c r="AA430" i="18"/>
  <c r="AA429" i="18"/>
  <c r="AA438" i="18" s="1"/>
  <c r="AD436" i="18"/>
  <c r="AD435" i="18"/>
  <c r="AD430" i="18"/>
  <c r="AD429" i="18"/>
  <c r="AD438" i="18" s="1"/>
  <c r="AG435" i="18"/>
  <c r="AG430" i="18"/>
  <c r="AG429" i="18"/>
  <c r="AJ435" i="18"/>
  <c r="AJ430" i="18"/>
  <c r="AJ429" i="18"/>
  <c r="L110" i="18"/>
  <c r="I110" i="18"/>
  <c r="F110" i="18"/>
  <c r="C110" i="18"/>
  <c r="C176" i="18"/>
  <c r="F176" i="18"/>
  <c r="I176" i="18"/>
  <c r="L176" i="18"/>
  <c r="O176" i="18"/>
  <c r="R176" i="18"/>
  <c r="AJ176" i="18"/>
  <c r="AG176" i="18"/>
  <c r="AD176" i="18"/>
  <c r="AA176" i="18"/>
  <c r="X176" i="18"/>
  <c r="U176" i="18"/>
  <c r="AJ110" i="18"/>
  <c r="AG110" i="18"/>
  <c r="AD110" i="18"/>
  <c r="AA110" i="18"/>
  <c r="X110" i="18"/>
  <c r="U110" i="18"/>
  <c r="R110" i="18"/>
  <c r="O110" i="18"/>
  <c r="U301" i="18"/>
  <c r="O301" i="18"/>
  <c r="R301" i="18"/>
  <c r="L304" i="18"/>
  <c r="R304" i="18"/>
  <c r="O304" i="18"/>
  <c r="U303" i="18"/>
  <c r="R303" i="18"/>
  <c r="AJ306" i="18"/>
  <c r="AJ305" i="18"/>
  <c r="AJ308" i="18" s="1"/>
  <c r="AG306" i="18"/>
  <c r="AG305" i="18"/>
  <c r="AG308" i="18" s="1"/>
  <c r="AD306" i="18"/>
  <c r="AD305" i="18"/>
  <c r="AD308" i="18" s="1"/>
  <c r="AA306" i="18"/>
  <c r="AA305" i="18"/>
  <c r="AA300" i="18"/>
  <c r="X306" i="18"/>
  <c r="X305" i="18"/>
  <c r="X300" i="18"/>
  <c r="U306" i="18"/>
  <c r="U305" i="18"/>
  <c r="U300" i="18"/>
  <c r="U299" i="18"/>
  <c r="R306" i="18"/>
  <c r="R305" i="18"/>
  <c r="R300" i="18"/>
  <c r="R299" i="18"/>
  <c r="O306" i="18"/>
  <c r="O305" i="18"/>
  <c r="O300" i="18"/>
  <c r="O299" i="18"/>
  <c r="L306" i="18"/>
  <c r="L305" i="18"/>
  <c r="L300" i="18"/>
  <c r="L299" i="18"/>
  <c r="I306" i="18"/>
  <c r="I305" i="18"/>
  <c r="I300" i="18"/>
  <c r="I299" i="18"/>
  <c r="F306" i="18"/>
  <c r="F305" i="18"/>
  <c r="F300" i="18"/>
  <c r="F299" i="18"/>
  <c r="C306" i="18"/>
  <c r="C305" i="18"/>
  <c r="C300" i="18"/>
  <c r="C299" i="18"/>
  <c r="AJ241" i="18"/>
  <c r="AG241" i="18"/>
  <c r="AD241" i="18"/>
  <c r="AA241" i="18"/>
  <c r="X241" i="18"/>
  <c r="U241" i="18"/>
  <c r="R241" i="18"/>
  <c r="O241" i="18"/>
  <c r="L241" i="18"/>
  <c r="N241" i="18" s="1"/>
  <c r="I241" i="18"/>
  <c r="K241" i="18" s="1"/>
  <c r="F241" i="18"/>
  <c r="C241" i="18"/>
  <c r="AJ240" i="18"/>
  <c r="AJ243" i="18" s="1"/>
  <c r="AG240" i="18"/>
  <c r="AG243" i="18" s="1"/>
  <c r="AD240" i="18"/>
  <c r="AD243" i="18" s="1"/>
  <c r="AA240" i="18"/>
  <c r="X240" i="18"/>
  <c r="U240" i="18"/>
  <c r="R240" i="18"/>
  <c r="O240" i="18"/>
  <c r="L240" i="18"/>
  <c r="N240" i="18" s="1"/>
  <c r="I240" i="18"/>
  <c r="K240" i="18" s="1"/>
  <c r="F240" i="18"/>
  <c r="C240" i="18"/>
  <c r="AA235" i="18"/>
  <c r="X235" i="18"/>
  <c r="X243" i="18" s="1"/>
  <c r="U235" i="18"/>
  <c r="R235" i="18"/>
  <c r="O235" i="18"/>
  <c r="L235" i="18"/>
  <c r="N235" i="18" s="1"/>
  <c r="U238" i="18"/>
  <c r="R238" i="18"/>
  <c r="U234" i="18"/>
  <c r="R234" i="18"/>
  <c r="R243" i="18" s="1"/>
  <c r="O234" i="18"/>
  <c r="L234" i="18"/>
  <c r="I235" i="18"/>
  <c r="I234" i="18"/>
  <c r="I243" i="18" s="1"/>
  <c r="F235" i="18"/>
  <c r="F234" i="18"/>
  <c r="F243" i="18" s="1"/>
  <c r="C235" i="18"/>
  <c r="C234" i="18"/>
  <c r="C243" i="18" s="1"/>
  <c r="D220" i="18"/>
  <c r="E220" i="18"/>
  <c r="G220" i="18"/>
  <c r="H220" i="18"/>
  <c r="J220" i="18"/>
  <c r="K220" i="18"/>
  <c r="M220" i="18"/>
  <c r="N220" i="18"/>
  <c r="D221" i="18"/>
  <c r="E221" i="18"/>
  <c r="G221" i="18"/>
  <c r="H221" i="18"/>
  <c r="J221" i="18"/>
  <c r="K221" i="18"/>
  <c r="M221" i="18"/>
  <c r="N221" i="18"/>
  <c r="D222" i="18"/>
  <c r="E222" i="18"/>
  <c r="G222" i="18"/>
  <c r="H222" i="18"/>
  <c r="J222" i="18"/>
  <c r="K222" i="18"/>
  <c r="M222" i="18"/>
  <c r="N222" i="18"/>
  <c r="D223" i="18"/>
  <c r="E223" i="18"/>
  <c r="G223" i="18"/>
  <c r="H223" i="18"/>
  <c r="J223" i="18"/>
  <c r="K223" i="18"/>
  <c r="M223" i="18"/>
  <c r="N223" i="18"/>
  <c r="D224" i="18"/>
  <c r="E224" i="18"/>
  <c r="G224" i="18"/>
  <c r="H224" i="18"/>
  <c r="J224" i="18"/>
  <c r="K224" i="18"/>
  <c r="M224" i="18"/>
  <c r="N224" i="18"/>
  <c r="D225" i="18"/>
  <c r="E225" i="18"/>
  <c r="G225" i="18"/>
  <c r="H225" i="18"/>
  <c r="J225" i="18"/>
  <c r="K225" i="18"/>
  <c r="M225" i="18"/>
  <c r="N225" i="18"/>
  <c r="D226" i="18"/>
  <c r="E226" i="18"/>
  <c r="G226" i="18"/>
  <c r="H226" i="18"/>
  <c r="J226" i="18"/>
  <c r="K226" i="18"/>
  <c r="M226" i="18"/>
  <c r="N226" i="18"/>
  <c r="D227" i="18"/>
  <c r="E227" i="18"/>
  <c r="G227" i="18"/>
  <c r="H227" i="18"/>
  <c r="J227" i="18"/>
  <c r="K227" i="18"/>
  <c r="M227" i="18"/>
  <c r="N227" i="18"/>
  <c r="D228" i="18"/>
  <c r="E228" i="18"/>
  <c r="G228" i="18"/>
  <c r="H228" i="18"/>
  <c r="J228" i="18"/>
  <c r="K228" i="18"/>
  <c r="M228" i="18"/>
  <c r="N228" i="18"/>
  <c r="D229" i="18"/>
  <c r="E229" i="18"/>
  <c r="G229" i="18"/>
  <c r="H229" i="18"/>
  <c r="J229" i="18"/>
  <c r="K229" i="18"/>
  <c r="M229" i="18"/>
  <c r="N229" i="18"/>
  <c r="D230" i="18"/>
  <c r="E230" i="18"/>
  <c r="G230" i="18"/>
  <c r="H230" i="18"/>
  <c r="J230" i="18"/>
  <c r="K230" i="18"/>
  <c r="M230" i="18"/>
  <c r="N230" i="18"/>
  <c r="D231" i="18"/>
  <c r="E231" i="18"/>
  <c r="G231" i="18"/>
  <c r="H231" i="18"/>
  <c r="J231" i="18"/>
  <c r="K231" i="18"/>
  <c r="M231" i="18"/>
  <c r="N231" i="18"/>
  <c r="D232" i="18"/>
  <c r="E232" i="18"/>
  <c r="G232" i="18"/>
  <c r="H232" i="18"/>
  <c r="J232" i="18"/>
  <c r="K232" i="18"/>
  <c r="M232" i="18"/>
  <c r="N232" i="18"/>
  <c r="D233" i="18"/>
  <c r="E233" i="18"/>
  <c r="G233" i="18"/>
  <c r="H233" i="18"/>
  <c r="J233" i="18"/>
  <c r="K233" i="18"/>
  <c r="M233" i="18"/>
  <c r="N233" i="18"/>
  <c r="D234" i="18"/>
  <c r="G234" i="18"/>
  <c r="J234" i="18"/>
  <c r="K234" i="18"/>
  <c r="M234" i="18"/>
  <c r="D235" i="18"/>
  <c r="E235" i="18"/>
  <c r="G235" i="18"/>
  <c r="H235" i="18"/>
  <c r="J235" i="18"/>
  <c r="K235" i="18"/>
  <c r="M235" i="18"/>
  <c r="D236" i="18"/>
  <c r="E236" i="18"/>
  <c r="G236" i="18"/>
  <c r="H236" i="18"/>
  <c r="J236" i="18"/>
  <c r="K236" i="18"/>
  <c r="M236" i="18"/>
  <c r="N236" i="18"/>
  <c r="D237" i="18"/>
  <c r="G237" i="18"/>
  <c r="J237" i="18"/>
  <c r="M237" i="18"/>
  <c r="D238" i="18"/>
  <c r="E238" i="18"/>
  <c r="G238" i="18"/>
  <c r="H238" i="18"/>
  <c r="J238" i="18"/>
  <c r="K238" i="18"/>
  <c r="M238" i="18"/>
  <c r="N238" i="18"/>
  <c r="D239" i="18"/>
  <c r="E239" i="18"/>
  <c r="G239" i="18"/>
  <c r="H239" i="18"/>
  <c r="J239" i="18"/>
  <c r="K239" i="18"/>
  <c r="M239" i="18"/>
  <c r="N239" i="18"/>
  <c r="D240" i="18"/>
  <c r="E240" i="18"/>
  <c r="G240" i="18"/>
  <c r="H240" i="18"/>
  <c r="J240" i="18"/>
  <c r="M240" i="18"/>
  <c r="D241" i="18"/>
  <c r="E241" i="18"/>
  <c r="G241" i="18"/>
  <c r="H241" i="18"/>
  <c r="J241" i="18"/>
  <c r="M241" i="18"/>
  <c r="D242" i="18"/>
  <c r="E242" i="18"/>
  <c r="G242" i="18"/>
  <c r="H242" i="18"/>
  <c r="J242" i="18"/>
  <c r="K242" i="18"/>
  <c r="M242" i="18"/>
  <c r="N242" i="18"/>
  <c r="U173" i="18"/>
  <c r="R173" i="18"/>
  <c r="AJ175" i="18"/>
  <c r="AJ178" i="18" s="1"/>
  <c r="AG175" i="18"/>
  <c r="AG178" i="18" s="1"/>
  <c r="AG109" i="18"/>
  <c r="AD175" i="18"/>
  <c r="AD178" i="18" s="1"/>
  <c r="AA175" i="18"/>
  <c r="X175" i="18"/>
  <c r="X178" i="18" s="1"/>
  <c r="U175" i="18"/>
  <c r="U169" i="18"/>
  <c r="U178" i="18" s="1"/>
  <c r="R175" i="18"/>
  <c r="R169" i="18"/>
  <c r="R178" i="18" s="1"/>
  <c r="O175" i="18"/>
  <c r="O170" i="18"/>
  <c r="O169" i="18"/>
  <c r="L175" i="18"/>
  <c r="L170" i="18"/>
  <c r="L169" i="18"/>
  <c r="I175" i="18"/>
  <c r="I170" i="18"/>
  <c r="I169" i="18"/>
  <c r="F175" i="18"/>
  <c r="F170" i="18"/>
  <c r="F169" i="18"/>
  <c r="F178" i="18" s="1"/>
  <c r="C175" i="18"/>
  <c r="C170" i="18"/>
  <c r="C169" i="18"/>
  <c r="R103" i="18"/>
  <c r="O103" i="18"/>
  <c r="L103" i="18"/>
  <c r="AJ109" i="18"/>
  <c r="AJ112" i="18" s="1"/>
  <c r="AD109" i="18"/>
  <c r="AD112" i="18" s="1"/>
  <c r="AA109" i="18"/>
  <c r="AA112" i="18" s="1"/>
  <c r="X109" i="18"/>
  <c r="X112" i="18" s="1"/>
  <c r="U109" i="18"/>
  <c r="R109" i="18"/>
  <c r="O109" i="18"/>
  <c r="L109" i="18"/>
  <c r="I109" i="18"/>
  <c r="F109" i="18"/>
  <c r="C109" i="18"/>
  <c r="C41" i="18"/>
  <c r="U103" i="18"/>
  <c r="O104" i="18"/>
  <c r="L104" i="18"/>
  <c r="I104" i="18"/>
  <c r="I103" i="18"/>
  <c r="F104" i="18"/>
  <c r="F103" i="18"/>
  <c r="C104" i="18"/>
  <c r="C103" i="18"/>
  <c r="C42" i="18"/>
  <c r="D350" i="18"/>
  <c r="E350" i="18"/>
  <c r="G350" i="18"/>
  <c r="H350" i="18"/>
  <c r="J350" i="18"/>
  <c r="K350" i="18"/>
  <c r="M350" i="18"/>
  <c r="N350" i="18"/>
  <c r="P350" i="18"/>
  <c r="Q350" i="18"/>
  <c r="S350" i="18"/>
  <c r="T350" i="18"/>
  <c r="V350" i="18"/>
  <c r="W350" i="18"/>
  <c r="Y350" i="18"/>
  <c r="Z350" i="18"/>
  <c r="AB350" i="18"/>
  <c r="AC350" i="18"/>
  <c r="AE350" i="18"/>
  <c r="AF350" i="18"/>
  <c r="AH350" i="18"/>
  <c r="AI350" i="18"/>
  <c r="AK350" i="18"/>
  <c r="AL350" i="18"/>
  <c r="D351" i="18"/>
  <c r="E351" i="18"/>
  <c r="G351" i="18"/>
  <c r="H351" i="18"/>
  <c r="J351" i="18"/>
  <c r="K351" i="18"/>
  <c r="M351" i="18"/>
  <c r="N351" i="18"/>
  <c r="P351" i="18"/>
  <c r="Q351" i="18"/>
  <c r="S351" i="18"/>
  <c r="T351" i="18"/>
  <c r="V351" i="18"/>
  <c r="W351" i="18"/>
  <c r="Y351" i="18"/>
  <c r="Z351" i="18"/>
  <c r="AB351" i="18"/>
  <c r="AC351" i="18"/>
  <c r="AE351" i="18"/>
  <c r="AF351" i="18"/>
  <c r="AH351" i="18"/>
  <c r="AI351" i="18"/>
  <c r="AK351" i="18"/>
  <c r="AL351" i="18"/>
  <c r="D352" i="18"/>
  <c r="E352" i="18"/>
  <c r="G352" i="18"/>
  <c r="H352" i="18"/>
  <c r="J352" i="18"/>
  <c r="K352" i="18"/>
  <c r="M352" i="18"/>
  <c r="N352" i="18"/>
  <c r="P352" i="18"/>
  <c r="Q352" i="18"/>
  <c r="S352" i="18"/>
  <c r="T352" i="18"/>
  <c r="V352" i="18"/>
  <c r="W352" i="18"/>
  <c r="Y352" i="18"/>
  <c r="Z352" i="18"/>
  <c r="AB352" i="18"/>
  <c r="AC352" i="18"/>
  <c r="AE352" i="18"/>
  <c r="AF352" i="18"/>
  <c r="AH352" i="18"/>
  <c r="AI352" i="18"/>
  <c r="AK352" i="18"/>
  <c r="AL352" i="18"/>
  <c r="D353" i="18"/>
  <c r="E353" i="18"/>
  <c r="G353" i="18"/>
  <c r="H353" i="18"/>
  <c r="J353" i="18"/>
  <c r="K353" i="18"/>
  <c r="M353" i="18"/>
  <c r="N353" i="18"/>
  <c r="P353" i="18"/>
  <c r="Q353" i="18"/>
  <c r="S353" i="18"/>
  <c r="T353" i="18"/>
  <c r="V353" i="18"/>
  <c r="W353" i="18"/>
  <c r="Y353" i="18"/>
  <c r="Z353" i="18"/>
  <c r="AB353" i="18"/>
  <c r="AC353" i="18"/>
  <c r="AE353" i="18"/>
  <c r="AF353" i="18"/>
  <c r="AH353" i="18"/>
  <c r="AI353" i="18"/>
  <c r="AK353" i="18"/>
  <c r="AL353" i="18"/>
  <c r="D354" i="18"/>
  <c r="E354" i="18"/>
  <c r="G354" i="18"/>
  <c r="H354" i="18"/>
  <c r="J354" i="18"/>
  <c r="K354" i="18"/>
  <c r="M354" i="18"/>
  <c r="N354" i="18"/>
  <c r="P354" i="18"/>
  <c r="Q354" i="18"/>
  <c r="S354" i="18"/>
  <c r="T354" i="18"/>
  <c r="V354" i="18"/>
  <c r="W354" i="18"/>
  <c r="Y354" i="18"/>
  <c r="Z354" i="18"/>
  <c r="AB354" i="18"/>
  <c r="AC354" i="18"/>
  <c r="AE354" i="18"/>
  <c r="AF354" i="18"/>
  <c r="AH354" i="18"/>
  <c r="AI354" i="18"/>
  <c r="AK354" i="18"/>
  <c r="AL354" i="18"/>
  <c r="D355" i="18"/>
  <c r="E355" i="18"/>
  <c r="G355" i="18"/>
  <c r="H355" i="18"/>
  <c r="J355" i="18"/>
  <c r="K355" i="18"/>
  <c r="M355" i="18"/>
  <c r="N355" i="18"/>
  <c r="P355" i="18"/>
  <c r="Q355" i="18"/>
  <c r="S355" i="18"/>
  <c r="T355" i="18"/>
  <c r="V355" i="18"/>
  <c r="W355" i="18"/>
  <c r="Y355" i="18"/>
  <c r="Z355" i="18"/>
  <c r="AB355" i="18"/>
  <c r="AC355" i="18"/>
  <c r="AE355" i="18"/>
  <c r="AF355" i="18"/>
  <c r="AH355" i="18"/>
  <c r="AI355" i="18"/>
  <c r="AK355" i="18"/>
  <c r="AL355" i="18"/>
  <c r="D356" i="18"/>
  <c r="E356" i="18"/>
  <c r="G356" i="18"/>
  <c r="H356" i="18"/>
  <c r="J356" i="18"/>
  <c r="K356" i="18"/>
  <c r="M356" i="18"/>
  <c r="N356" i="18"/>
  <c r="P356" i="18"/>
  <c r="Q356" i="18"/>
  <c r="S356" i="18"/>
  <c r="T356" i="18"/>
  <c r="V356" i="18"/>
  <c r="W356" i="18"/>
  <c r="Y356" i="18"/>
  <c r="Z356" i="18"/>
  <c r="AB356" i="18"/>
  <c r="AC356" i="18"/>
  <c r="AE356" i="18"/>
  <c r="AF356" i="18"/>
  <c r="AH356" i="18"/>
  <c r="AI356" i="18"/>
  <c r="AK356" i="18"/>
  <c r="AL356" i="18"/>
  <c r="D357" i="18"/>
  <c r="E357" i="18"/>
  <c r="G357" i="18"/>
  <c r="H357" i="18"/>
  <c r="J357" i="18"/>
  <c r="K357" i="18"/>
  <c r="M357" i="18"/>
  <c r="N357" i="18"/>
  <c r="P357" i="18"/>
  <c r="Q357" i="18"/>
  <c r="S357" i="18"/>
  <c r="T357" i="18"/>
  <c r="V357" i="18"/>
  <c r="W357" i="18"/>
  <c r="Y357" i="18"/>
  <c r="Z357" i="18"/>
  <c r="AB357" i="18"/>
  <c r="AC357" i="18"/>
  <c r="AE357" i="18"/>
  <c r="AF357" i="18"/>
  <c r="AH357" i="18"/>
  <c r="AI357" i="18"/>
  <c r="AK357" i="18"/>
  <c r="AL357" i="18"/>
  <c r="D358" i="18"/>
  <c r="E358" i="18"/>
  <c r="G358" i="18"/>
  <c r="H358" i="18"/>
  <c r="J358" i="18"/>
  <c r="K358" i="18"/>
  <c r="M358" i="18"/>
  <c r="N358" i="18"/>
  <c r="P358" i="18"/>
  <c r="Q358" i="18"/>
  <c r="S358" i="18"/>
  <c r="T358" i="18"/>
  <c r="V358" i="18"/>
  <c r="W358" i="18"/>
  <c r="Y358" i="18"/>
  <c r="Z358" i="18"/>
  <c r="AB358" i="18"/>
  <c r="AC358" i="18"/>
  <c r="AE358" i="18"/>
  <c r="AF358" i="18"/>
  <c r="AH358" i="18"/>
  <c r="AI358" i="18"/>
  <c r="AK358" i="18"/>
  <c r="AL358" i="18"/>
  <c r="D359" i="18"/>
  <c r="E359" i="18"/>
  <c r="G359" i="18"/>
  <c r="H359" i="18"/>
  <c r="J359" i="18"/>
  <c r="K359" i="18"/>
  <c r="M359" i="18"/>
  <c r="N359" i="18"/>
  <c r="P359" i="18"/>
  <c r="Q359" i="18"/>
  <c r="S359" i="18"/>
  <c r="T359" i="18"/>
  <c r="V359" i="18"/>
  <c r="W359" i="18"/>
  <c r="Y359" i="18"/>
  <c r="Z359" i="18"/>
  <c r="AB359" i="18"/>
  <c r="AC359" i="18"/>
  <c r="AE359" i="18"/>
  <c r="AF359" i="18"/>
  <c r="AH359" i="18"/>
  <c r="AI359" i="18"/>
  <c r="AK359" i="18"/>
  <c r="AL359" i="18"/>
  <c r="D360" i="18"/>
  <c r="E360" i="18"/>
  <c r="G360" i="18"/>
  <c r="H360" i="18"/>
  <c r="J360" i="18"/>
  <c r="K360" i="18"/>
  <c r="M360" i="18"/>
  <c r="N360" i="18"/>
  <c r="P360" i="18"/>
  <c r="Q360" i="18"/>
  <c r="S360" i="18"/>
  <c r="T360" i="18"/>
  <c r="V360" i="18"/>
  <c r="W360" i="18"/>
  <c r="Y360" i="18"/>
  <c r="Z360" i="18"/>
  <c r="AB360" i="18"/>
  <c r="AC360" i="18"/>
  <c r="AE360" i="18"/>
  <c r="AF360" i="18"/>
  <c r="AH360" i="18"/>
  <c r="AI360" i="18"/>
  <c r="AK360" i="18"/>
  <c r="AL360" i="18"/>
  <c r="D361" i="18"/>
  <c r="E361" i="18"/>
  <c r="G361" i="18"/>
  <c r="H361" i="18"/>
  <c r="J361" i="18"/>
  <c r="K361" i="18"/>
  <c r="M361" i="18"/>
  <c r="N361" i="18"/>
  <c r="P361" i="18"/>
  <c r="Q361" i="18"/>
  <c r="S361" i="18"/>
  <c r="T361" i="18"/>
  <c r="V361" i="18"/>
  <c r="W361" i="18"/>
  <c r="Y361" i="18"/>
  <c r="Z361" i="18"/>
  <c r="AB361" i="18"/>
  <c r="AC361" i="18"/>
  <c r="AE361" i="18"/>
  <c r="AF361" i="18"/>
  <c r="AH361" i="18"/>
  <c r="AI361" i="18"/>
  <c r="AK361" i="18"/>
  <c r="AL361" i="18"/>
  <c r="D362" i="18"/>
  <c r="E362" i="18"/>
  <c r="G362" i="18"/>
  <c r="H362" i="18"/>
  <c r="J362" i="18"/>
  <c r="K362" i="18"/>
  <c r="M362" i="18"/>
  <c r="N362" i="18"/>
  <c r="P362" i="18"/>
  <c r="Q362" i="18"/>
  <c r="S362" i="18"/>
  <c r="T362" i="18"/>
  <c r="V362" i="18"/>
  <c r="W362" i="18"/>
  <c r="Y362" i="18"/>
  <c r="Z362" i="18"/>
  <c r="AB362" i="18"/>
  <c r="AC362" i="18"/>
  <c r="AE362" i="18"/>
  <c r="AF362" i="18"/>
  <c r="AH362" i="18"/>
  <c r="AI362" i="18"/>
  <c r="AK362" i="18"/>
  <c r="AL362" i="18"/>
  <c r="D363" i="18"/>
  <c r="E363" i="18"/>
  <c r="G363" i="18"/>
  <c r="H363" i="18"/>
  <c r="J363" i="18"/>
  <c r="K363" i="18"/>
  <c r="M363" i="18"/>
  <c r="N363" i="18"/>
  <c r="P363" i="18"/>
  <c r="Q363" i="18"/>
  <c r="S363" i="18"/>
  <c r="T363" i="18"/>
  <c r="V363" i="18"/>
  <c r="W363" i="18"/>
  <c r="Y363" i="18"/>
  <c r="Z363" i="18"/>
  <c r="AB363" i="18"/>
  <c r="AC363" i="18"/>
  <c r="AE363" i="18"/>
  <c r="AF363" i="18"/>
  <c r="AH363" i="18"/>
  <c r="AI363" i="18"/>
  <c r="AK363" i="18"/>
  <c r="AL363" i="18"/>
  <c r="D364" i="18"/>
  <c r="E364" i="18"/>
  <c r="G364" i="18"/>
  <c r="J364" i="18"/>
  <c r="K364" i="18"/>
  <c r="M364" i="18"/>
  <c r="P364" i="18"/>
  <c r="S364" i="18"/>
  <c r="V364" i="18"/>
  <c r="Y364" i="18"/>
  <c r="Z364" i="18"/>
  <c r="AB364" i="18"/>
  <c r="AC364" i="18"/>
  <c r="AE364" i="18"/>
  <c r="AF364" i="18"/>
  <c r="AH364" i="18"/>
  <c r="AI364" i="18"/>
  <c r="AK364" i="18"/>
  <c r="AL364" i="18"/>
  <c r="D365" i="18"/>
  <c r="E365" i="18"/>
  <c r="G365" i="18"/>
  <c r="J365" i="18"/>
  <c r="K365" i="18"/>
  <c r="M365" i="18"/>
  <c r="P365" i="18"/>
  <c r="Q365" i="18"/>
  <c r="S365" i="18"/>
  <c r="T365" i="18"/>
  <c r="V365" i="18"/>
  <c r="Y365" i="18"/>
  <c r="AB365" i="18"/>
  <c r="AC365" i="18"/>
  <c r="AE365" i="18"/>
  <c r="AF365" i="18"/>
  <c r="AH365" i="18"/>
  <c r="AK365" i="18"/>
  <c r="D366" i="18"/>
  <c r="E366" i="18"/>
  <c r="G366" i="18"/>
  <c r="H366" i="18"/>
  <c r="J366" i="18"/>
  <c r="K366" i="18"/>
  <c r="M366" i="18"/>
  <c r="N366" i="18"/>
  <c r="P366" i="18"/>
  <c r="S366" i="18"/>
  <c r="T366" i="18"/>
  <c r="V366" i="18"/>
  <c r="Y366" i="18"/>
  <c r="Z366" i="18"/>
  <c r="AB366" i="18"/>
  <c r="AC366" i="18"/>
  <c r="AE366" i="18"/>
  <c r="AF366" i="18"/>
  <c r="AH366" i="18"/>
  <c r="AI366" i="18"/>
  <c r="AK366" i="18"/>
  <c r="AL366" i="18"/>
  <c r="D367" i="18"/>
  <c r="G367" i="18"/>
  <c r="J367" i="18"/>
  <c r="M367" i="18"/>
  <c r="P367" i="18"/>
  <c r="S367" i="18"/>
  <c r="V367" i="18"/>
  <c r="Y367" i="18"/>
  <c r="AB367" i="18"/>
  <c r="AE367" i="18"/>
  <c r="AH367" i="18"/>
  <c r="AK367" i="18"/>
  <c r="D368" i="18"/>
  <c r="E368" i="18"/>
  <c r="G368" i="18"/>
  <c r="H368" i="18"/>
  <c r="J368" i="18"/>
  <c r="K368" i="18"/>
  <c r="M368" i="18"/>
  <c r="N368" i="18"/>
  <c r="P368" i="18"/>
  <c r="S368" i="18"/>
  <c r="V368" i="18"/>
  <c r="W368" i="18"/>
  <c r="Y368" i="18"/>
  <c r="Z368" i="18"/>
  <c r="AB368" i="18"/>
  <c r="AC368" i="18"/>
  <c r="AE368" i="18"/>
  <c r="AF368" i="18"/>
  <c r="AH368" i="18"/>
  <c r="AI368" i="18"/>
  <c r="AK368" i="18"/>
  <c r="AL368" i="18"/>
  <c r="D369" i="18"/>
  <c r="E369" i="18"/>
  <c r="G369" i="18"/>
  <c r="H369" i="18"/>
  <c r="J369" i="18"/>
  <c r="K369" i="18"/>
  <c r="M369" i="18"/>
  <c r="P369" i="18"/>
  <c r="Q369" i="18"/>
  <c r="S369" i="18"/>
  <c r="T369" i="18"/>
  <c r="V369" i="18"/>
  <c r="W369" i="18"/>
  <c r="Y369" i="18"/>
  <c r="Z369" i="18"/>
  <c r="AB369" i="18"/>
  <c r="AC369" i="18"/>
  <c r="AE369" i="18"/>
  <c r="AF369" i="18"/>
  <c r="AH369" i="18"/>
  <c r="AI369" i="18"/>
  <c r="AK369" i="18"/>
  <c r="AL369" i="18"/>
  <c r="D370" i="18"/>
  <c r="E370" i="18"/>
  <c r="G370" i="18"/>
  <c r="J370" i="18"/>
  <c r="K370" i="18"/>
  <c r="M370" i="18"/>
  <c r="N370" i="18"/>
  <c r="P370" i="18"/>
  <c r="Q370" i="18"/>
  <c r="S370" i="18"/>
  <c r="T370" i="18"/>
  <c r="V370" i="18"/>
  <c r="W370" i="18"/>
  <c r="Y370" i="18"/>
  <c r="AB370" i="18"/>
  <c r="AC370" i="18"/>
  <c r="AE370" i="18"/>
  <c r="AH370" i="18"/>
  <c r="AI370" i="18"/>
  <c r="AK370" i="18"/>
  <c r="D371" i="18"/>
  <c r="G371" i="18"/>
  <c r="H371" i="18"/>
  <c r="J371" i="18"/>
  <c r="M371" i="18"/>
  <c r="N371" i="18"/>
  <c r="P371" i="18"/>
  <c r="S371" i="18"/>
  <c r="V371" i="18"/>
  <c r="W371" i="18"/>
  <c r="Y371" i="18"/>
  <c r="AB371" i="18"/>
  <c r="AC371" i="18"/>
  <c r="AE371" i="18"/>
  <c r="AH371" i="18"/>
  <c r="AI371" i="18"/>
  <c r="AK371" i="18"/>
  <c r="D372" i="18"/>
  <c r="E372" i="18"/>
  <c r="G372" i="18"/>
  <c r="H372" i="18"/>
  <c r="J372" i="18"/>
  <c r="K372" i="18"/>
  <c r="M372" i="18"/>
  <c r="N372" i="18"/>
  <c r="P372" i="18"/>
  <c r="Q372" i="18"/>
  <c r="S372" i="18"/>
  <c r="T372" i="18"/>
  <c r="V372" i="18"/>
  <c r="W372" i="18"/>
  <c r="Y372" i="18"/>
  <c r="Z372" i="18"/>
  <c r="AB372" i="18"/>
  <c r="AC372" i="18"/>
  <c r="AE372" i="18"/>
  <c r="AF372" i="18"/>
  <c r="AH372" i="18"/>
  <c r="AI372" i="18"/>
  <c r="AK372" i="18"/>
  <c r="AL372" i="18"/>
  <c r="AJ488" i="18"/>
  <c r="AG488" i="18"/>
  <c r="AD488" i="18"/>
  <c r="AA488" i="18"/>
  <c r="AJ500" i="18"/>
  <c r="AG500" i="18"/>
  <c r="AD500" i="18"/>
  <c r="AA500" i="18"/>
  <c r="X500" i="18"/>
  <c r="U500" i="18"/>
  <c r="R500" i="18"/>
  <c r="O500" i="18"/>
  <c r="L500" i="18"/>
  <c r="I500" i="18"/>
  <c r="F500" i="18"/>
  <c r="C500" i="18"/>
  <c r="R499" i="18"/>
  <c r="O499" i="18"/>
  <c r="L499" i="18"/>
  <c r="AJ501" i="18"/>
  <c r="AG501" i="18"/>
  <c r="AD501" i="18"/>
  <c r="AA501" i="18"/>
  <c r="X501" i="18"/>
  <c r="U501" i="18"/>
  <c r="C501" i="18"/>
  <c r="F501" i="18"/>
  <c r="I501" i="18"/>
  <c r="R501" i="18"/>
  <c r="O501" i="18"/>
  <c r="L501" i="18"/>
  <c r="R498" i="18"/>
  <c r="R497" i="18"/>
  <c r="O497" i="18"/>
  <c r="L497" i="18"/>
  <c r="AA496" i="18"/>
  <c r="X496" i="18"/>
  <c r="U496" i="18"/>
  <c r="AA503" i="18" l="1"/>
  <c r="C112" i="18"/>
  <c r="I112" i="18"/>
  <c r="U112" i="18"/>
  <c r="C178" i="18"/>
  <c r="O178" i="18"/>
  <c r="AA178" i="18"/>
  <c r="U243" i="18"/>
  <c r="AA243" i="18"/>
  <c r="AA308" i="18"/>
  <c r="AG438" i="18"/>
  <c r="I438" i="18"/>
  <c r="L503" i="18"/>
  <c r="R373" i="18"/>
  <c r="U373" i="18"/>
  <c r="X373" i="18"/>
  <c r="AL365" i="18"/>
  <c r="AJ373" i="18"/>
  <c r="R112" i="18"/>
  <c r="AD503" i="18"/>
  <c r="L112" i="18"/>
  <c r="L178" i="18"/>
  <c r="L243" i="18"/>
  <c r="C308" i="18"/>
  <c r="F308" i="18"/>
  <c r="I308" i="18"/>
  <c r="L308" i="18"/>
  <c r="O308" i="18"/>
  <c r="R308" i="18"/>
  <c r="U308" i="18"/>
  <c r="X308" i="18"/>
  <c r="AJ438" i="18"/>
  <c r="O438" i="18"/>
  <c r="C373" i="18"/>
  <c r="I373" i="18"/>
  <c r="AA373" i="18"/>
  <c r="F112" i="18"/>
  <c r="O112" i="18"/>
  <c r="I178" i="18"/>
  <c r="AG112" i="18"/>
  <c r="O243" i="18"/>
  <c r="C438" i="18"/>
  <c r="AD373" i="18"/>
  <c r="W364" i="18"/>
  <c r="Q364" i="18"/>
  <c r="H364" i="18"/>
  <c r="N364" i="18"/>
  <c r="AI365" i="18"/>
  <c r="T364" i="18"/>
  <c r="Z365" i="18"/>
  <c r="E234" i="18"/>
  <c r="H234" i="18"/>
  <c r="N234" i="18"/>
  <c r="C47" i="18"/>
  <c r="B476" i="18"/>
  <c r="A370" i="18"/>
  <c r="A362" i="18"/>
  <c r="A360" i="18"/>
  <c r="A368" i="18"/>
  <c r="A363" i="18"/>
  <c r="A359" i="18"/>
  <c r="A355" i="18"/>
  <c r="A351" i="18"/>
  <c r="A369" i="18"/>
  <c r="A366" i="18"/>
  <c r="A361" i="18"/>
  <c r="A358" i="18"/>
  <c r="A357" i="18"/>
  <c r="A356" i="18"/>
  <c r="A354" i="18"/>
  <c r="A353" i="18"/>
  <c r="A352" i="18"/>
  <c r="A350" i="18"/>
  <c r="A371" i="18"/>
  <c r="AJ495" i="18"/>
  <c r="AL495" i="18" s="1"/>
  <c r="AJ494" i="18"/>
  <c r="AJ503" i="18" s="1"/>
  <c r="AG495" i="18"/>
  <c r="AI495" i="18" s="1"/>
  <c r="AG494" i="18"/>
  <c r="AI494" i="18" s="1"/>
  <c r="AD495" i="18"/>
  <c r="AF495" i="18" s="1"/>
  <c r="AD494" i="18"/>
  <c r="AA495" i="18"/>
  <c r="AA494" i="18"/>
  <c r="AC494" i="18" s="1"/>
  <c r="X495" i="18"/>
  <c r="Z495" i="18" s="1"/>
  <c r="X494" i="18"/>
  <c r="X503" i="18" s="1"/>
  <c r="U495" i="18"/>
  <c r="W495" i="18" s="1"/>
  <c r="U494" i="18"/>
  <c r="W494" i="18" s="1"/>
  <c r="R495" i="18"/>
  <c r="T495" i="18" s="1"/>
  <c r="R494" i="18"/>
  <c r="T494" i="18" s="1"/>
  <c r="O495" i="18"/>
  <c r="Q495" i="18" s="1"/>
  <c r="O494" i="18"/>
  <c r="Q494" i="18" s="1"/>
  <c r="L495" i="18"/>
  <c r="N495" i="18" s="1"/>
  <c r="L494" i="18"/>
  <c r="I495" i="18"/>
  <c r="K495" i="18" s="1"/>
  <c r="I494" i="18"/>
  <c r="K494" i="18" s="1"/>
  <c r="F495" i="18"/>
  <c r="H495" i="18" s="1"/>
  <c r="F494" i="18"/>
  <c r="F503" i="18" s="1"/>
  <c r="C495" i="18"/>
  <c r="E495" i="18" s="1"/>
  <c r="C494" i="18"/>
  <c r="E494" i="18" s="1"/>
  <c r="AL502" i="18"/>
  <c r="AK502" i="18"/>
  <c r="AI502" i="18"/>
  <c r="AH502" i="18"/>
  <c r="AF502" i="18"/>
  <c r="AE502" i="18"/>
  <c r="AC502" i="18"/>
  <c r="AB502" i="18"/>
  <c r="Z502" i="18"/>
  <c r="Y502" i="18"/>
  <c r="W502" i="18"/>
  <c r="V502" i="18"/>
  <c r="T502" i="18"/>
  <c r="S502" i="18"/>
  <c r="Q502" i="18"/>
  <c r="P502" i="18"/>
  <c r="N502" i="18"/>
  <c r="M502" i="18"/>
  <c r="K502" i="18"/>
  <c r="J502" i="18"/>
  <c r="H502" i="18"/>
  <c r="G502" i="18"/>
  <c r="E502" i="18"/>
  <c r="D502" i="18"/>
  <c r="AL501" i="18"/>
  <c r="AK501" i="18"/>
  <c r="AI501" i="18"/>
  <c r="AH501" i="18"/>
  <c r="AF501" i="18"/>
  <c r="AE501" i="18"/>
  <c r="AC501" i="18"/>
  <c r="AB501" i="18"/>
  <c r="Z501" i="18"/>
  <c r="Y501" i="18"/>
  <c r="W501" i="18"/>
  <c r="V501" i="18"/>
  <c r="T501" i="18"/>
  <c r="S501" i="18"/>
  <c r="Q501" i="18"/>
  <c r="P501" i="18"/>
  <c r="N501" i="18"/>
  <c r="M501" i="18"/>
  <c r="K501" i="18"/>
  <c r="J501" i="18"/>
  <c r="H501" i="18"/>
  <c r="G501" i="18"/>
  <c r="E501" i="18"/>
  <c r="D501" i="18"/>
  <c r="AL500" i="18"/>
  <c r="AK500" i="18"/>
  <c r="AI500" i="18"/>
  <c r="AH500" i="18"/>
  <c r="AF500" i="18"/>
  <c r="AE500" i="18"/>
  <c r="AC500" i="18"/>
  <c r="AB500" i="18"/>
  <c r="Z500" i="18"/>
  <c r="Y500" i="18"/>
  <c r="W500" i="18"/>
  <c r="V500" i="18"/>
  <c r="T500" i="18"/>
  <c r="S500" i="18"/>
  <c r="Q500" i="18"/>
  <c r="P500" i="18"/>
  <c r="N500" i="18"/>
  <c r="M500" i="18"/>
  <c r="K500" i="18"/>
  <c r="J500" i="18"/>
  <c r="H500" i="18"/>
  <c r="G500" i="18"/>
  <c r="E500" i="18"/>
  <c r="D500" i="18"/>
  <c r="AL499" i="18"/>
  <c r="AK499" i="18"/>
  <c r="AI499" i="18"/>
  <c r="AH499" i="18"/>
  <c r="AF499" i="18"/>
  <c r="AE499" i="18"/>
  <c r="AC499" i="18"/>
  <c r="AB499" i="18"/>
  <c r="Z499" i="18"/>
  <c r="Y499" i="18"/>
  <c r="W499" i="18"/>
  <c r="V499" i="18"/>
  <c r="T499" i="18"/>
  <c r="S499" i="18"/>
  <c r="Q499" i="18"/>
  <c r="P499" i="18"/>
  <c r="N499" i="18"/>
  <c r="M499" i="18"/>
  <c r="K499" i="18"/>
  <c r="J499" i="18"/>
  <c r="H499" i="18"/>
  <c r="G499" i="18"/>
  <c r="E499" i="18"/>
  <c r="D499" i="18"/>
  <c r="AL498" i="18"/>
  <c r="AK498" i="18"/>
  <c r="AI498" i="18"/>
  <c r="AH498" i="18"/>
  <c r="AF498" i="18"/>
  <c r="AE498" i="18"/>
  <c r="AC498" i="18"/>
  <c r="AB498" i="18"/>
  <c r="Z498" i="18"/>
  <c r="Y498" i="18"/>
  <c r="W498" i="18"/>
  <c r="V498" i="18"/>
  <c r="T498" i="18"/>
  <c r="S498" i="18"/>
  <c r="Q498" i="18"/>
  <c r="P498" i="18"/>
  <c r="N498" i="18"/>
  <c r="M498" i="18"/>
  <c r="K498" i="18"/>
  <c r="J498" i="18"/>
  <c r="H498" i="18"/>
  <c r="G498" i="18"/>
  <c r="E498" i="18"/>
  <c r="D498" i="18"/>
  <c r="AK497" i="18"/>
  <c r="AH497" i="18"/>
  <c r="AE497" i="18"/>
  <c r="AB497" i="18"/>
  <c r="Y497" i="18"/>
  <c r="V497" i="18"/>
  <c r="S497" i="18"/>
  <c r="P497" i="18"/>
  <c r="M497" i="18"/>
  <c r="J497" i="18"/>
  <c r="G497" i="18"/>
  <c r="D497" i="18"/>
  <c r="AL496" i="18"/>
  <c r="AK496" i="18"/>
  <c r="AI496" i="18"/>
  <c r="AH496" i="18"/>
  <c r="AF496" i="18"/>
  <c r="AE496" i="18"/>
  <c r="AC496" i="18"/>
  <c r="AB496" i="18"/>
  <c r="Z496" i="18"/>
  <c r="Y496" i="18"/>
  <c r="W496" i="18"/>
  <c r="V496" i="18"/>
  <c r="T496" i="18"/>
  <c r="S496" i="18"/>
  <c r="Q496" i="18"/>
  <c r="P496" i="18"/>
  <c r="N496" i="18"/>
  <c r="M496" i="18"/>
  <c r="K496" i="18"/>
  <c r="J496" i="18"/>
  <c r="H496" i="18"/>
  <c r="G496" i="18"/>
  <c r="E496" i="18"/>
  <c r="D496" i="18"/>
  <c r="AK495" i="18"/>
  <c r="AH495" i="18"/>
  <c r="AE495" i="18"/>
  <c r="AC495" i="18"/>
  <c r="AB495" i="18"/>
  <c r="Y495" i="18"/>
  <c r="V495" i="18"/>
  <c r="S495" i="18"/>
  <c r="P495" i="18"/>
  <c r="M495" i="18"/>
  <c r="J495" i="18"/>
  <c r="G495" i="18"/>
  <c r="D495" i="18"/>
  <c r="AL494" i="18"/>
  <c r="AK494" i="18"/>
  <c r="AH494" i="18"/>
  <c r="AF494" i="18"/>
  <c r="AE494" i="18"/>
  <c r="AB494" i="18"/>
  <c r="Z494" i="18"/>
  <c r="Y494" i="18"/>
  <c r="V494" i="18"/>
  <c r="S494" i="18"/>
  <c r="P494" i="18"/>
  <c r="N494" i="18"/>
  <c r="M494" i="18"/>
  <c r="J494" i="18"/>
  <c r="H494" i="18"/>
  <c r="G494" i="18"/>
  <c r="D494" i="18"/>
  <c r="AL493" i="18"/>
  <c r="AK493" i="18"/>
  <c r="AI493" i="18"/>
  <c r="AH493" i="18"/>
  <c r="AF493" i="18"/>
  <c r="AE493" i="18"/>
  <c r="AC493" i="18"/>
  <c r="AB493" i="18"/>
  <c r="Z493" i="18"/>
  <c r="Y493" i="18"/>
  <c r="W493" i="18"/>
  <c r="V493" i="18"/>
  <c r="T493" i="18"/>
  <c r="S493" i="18"/>
  <c r="Q493" i="18"/>
  <c r="P493" i="18"/>
  <c r="N493" i="18"/>
  <c r="M493" i="18"/>
  <c r="K493" i="18"/>
  <c r="J493" i="18"/>
  <c r="H493" i="18"/>
  <c r="G493" i="18"/>
  <c r="E493" i="18"/>
  <c r="D493" i="18"/>
  <c r="AL492" i="18"/>
  <c r="AK492" i="18"/>
  <c r="AI492" i="18"/>
  <c r="AH492" i="18"/>
  <c r="AF492" i="18"/>
  <c r="AE492" i="18"/>
  <c r="AC492" i="18"/>
  <c r="AB492" i="18"/>
  <c r="Z492" i="18"/>
  <c r="Y492" i="18"/>
  <c r="W492" i="18"/>
  <c r="V492" i="18"/>
  <c r="T492" i="18"/>
  <c r="S492" i="18"/>
  <c r="Q492" i="18"/>
  <c r="P492" i="18"/>
  <c r="N492" i="18"/>
  <c r="M492" i="18"/>
  <c r="K492" i="18"/>
  <c r="J492" i="18"/>
  <c r="H492" i="18"/>
  <c r="G492" i="18"/>
  <c r="E492" i="18"/>
  <c r="D492" i="18"/>
  <c r="AL491" i="18"/>
  <c r="AK491" i="18"/>
  <c r="AI491" i="18"/>
  <c r="AH491" i="18"/>
  <c r="AF491" i="18"/>
  <c r="AE491" i="18"/>
  <c r="AC491" i="18"/>
  <c r="AB491" i="18"/>
  <c r="Z491" i="18"/>
  <c r="Y491" i="18"/>
  <c r="W491" i="18"/>
  <c r="V491" i="18"/>
  <c r="T491" i="18"/>
  <c r="S491" i="18"/>
  <c r="Q491" i="18"/>
  <c r="P491" i="18"/>
  <c r="N491" i="18"/>
  <c r="M491" i="18"/>
  <c r="K491" i="18"/>
  <c r="J491" i="18"/>
  <c r="H491" i="18"/>
  <c r="G491" i="18"/>
  <c r="E491" i="18"/>
  <c r="D491" i="18"/>
  <c r="AL490" i="18"/>
  <c r="AK490" i="18"/>
  <c r="AI490" i="18"/>
  <c r="AH490" i="18"/>
  <c r="AF490" i="18"/>
  <c r="AE490" i="18"/>
  <c r="AC490" i="18"/>
  <c r="AB490" i="18"/>
  <c r="Z490" i="18"/>
  <c r="Y490" i="18"/>
  <c r="W490" i="18"/>
  <c r="V490" i="18"/>
  <c r="T490" i="18"/>
  <c r="S490" i="18"/>
  <c r="Q490" i="18"/>
  <c r="P490" i="18"/>
  <c r="N490" i="18"/>
  <c r="M490" i="18"/>
  <c r="K490" i="18"/>
  <c r="J490" i="18"/>
  <c r="H490" i="18"/>
  <c r="G490" i="18"/>
  <c r="E490" i="18"/>
  <c r="D490" i="18"/>
  <c r="AL489" i="18"/>
  <c r="AK489" i="18"/>
  <c r="AI489" i="18"/>
  <c r="AH489" i="18"/>
  <c r="AF489" i="18"/>
  <c r="AE489" i="18"/>
  <c r="AC489" i="18"/>
  <c r="AB489" i="18"/>
  <c r="Z489" i="18"/>
  <c r="Y489" i="18"/>
  <c r="W489" i="18"/>
  <c r="V489" i="18"/>
  <c r="T489" i="18"/>
  <c r="S489" i="18"/>
  <c r="Q489" i="18"/>
  <c r="P489" i="18"/>
  <c r="N489" i="18"/>
  <c r="M489" i="18"/>
  <c r="K489" i="18"/>
  <c r="J489" i="18"/>
  <c r="H489" i="18"/>
  <c r="G489" i="18"/>
  <c r="E489" i="18"/>
  <c r="D489" i="18"/>
  <c r="AL488" i="18"/>
  <c r="AK488" i="18"/>
  <c r="AI488" i="18"/>
  <c r="AH488" i="18"/>
  <c r="AF488" i="18"/>
  <c r="AE488" i="18"/>
  <c r="AC488" i="18"/>
  <c r="AB488" i="18"/>
  <c r="Z488" i="18"/>
  <c r="Y488" i="18"/>
  <c r="W488" i="18"/>
  <c r="V488" i="18"/>
  <c r="T488" i="18"/>
  <c r="S488" i="18"/>
  <c r="Q488" i="18"/>
  <c r="P488" i="18"/>
  <c r="N488" i="18"/>
  <c r="M488" i="18"/>
  <c r="K488" i="18"/>
  <c r="J488" i="18"/>
  <c r="H488" i="18"/>
  <c r="G488" i="18"/>
  <c r="E488" i="18"/>
  <c r="D488" i="18"/>
  <c r="AL487" i="18"/>
  <c r="AK487" i="18"/>
  <c r="AI487" i="18"/>
  <c r="AH487" i="18"/>
  <c r="AF487" i="18"/>
  <c r="AE487" i="18"/>
  <c r="AC487" i="18"/>
  <c r="AB487" i="18"/>
  <c r="Z487" i="18"/>
  <c r="Y487" i="18"/>
  <c r="W487" i="18"/>
  <c r="V487" i="18"/>
  <c r="T487" i="18"/>
  <c r="S487" i="18"/>
  <c r="Q487" i="18"/>
  <c r="P487" i="18"/>
  <c r="N487" i="18"/>
  <c r="M487" i="18"/>
  <c r="K487" i="18"/>
  <c r="J487" i="18"/>
  <c r="H487" i="18"/>
  <c r="G487" i="18"/>
  <c r="E487" i="18"/>
  <c r="D487" i="18"/>
  <c r="AL486" i="18"/>
  <c r="AK486" i="18"/>
  <c r="AI486" i="18"/>
  <c r="AH486" i="18"/>
  <c r="AF486" i="18"/>
  <c r="AE486" i="18"/>
  <c r="AC486" i="18"/>
  <c r="AB486" i="18"/>
  <c r="Z486" i="18"/>
  <c r="Y486" i="18"/>
  <c r="W486" i="18"/>
  <c r="V486" i="18"/>
  <c r="T486" i="18"/>
  <c r="S486" i="18"/>
  <c r="Q486" i="18"/>
  <c r="P486" i="18"/>
  <c r="N486" i="18"/>
  <c r="M486" i="18"/>
  <c r="K486" i="18"/>
  <c r="J486" i="18"/>
  <c r="H486" i="18"/>
  <c r="G486" i="18"/>
  <c r="E486" i="18"/>
  <c r="D486" i="18"/>
  <c r="AL485" i="18"/>
  <c r="AK485" i="18"/>
  <c r="AI485" i="18"/>
  <c r="AH485" i="18"/>
  <c r="AF485" i="18"/>
  <c r="AE485" i="18"/>
  <c r="AC485" i="18"/>
  <c r="AB485" i="18"/>
  <c r="Z485" i="18"/>
  <c r="Y485" i="18"/>
  <c r="W485" i="18"/>
  <c r="V485" i="18"/>
  <c r="T485" i="18"/>
  <c r="S485" i="18"/>
  <c r="Q485" i="18"/>
  <c r="P485" i="18"/>
  <c r="N485" i="18"/>
  <c r="M485" i="18"/>
  <c r="K485" i="18"/>
  <c r="J485" i="18"/>
  <c r="H485" i="18"/>
  <c r="G485" i="18"/>
  <c r="E485" i="18"/>
  <c r="D485" i="18"/>
  <c r="AL484" i="18"/>
  <c r="AK484" i="18"/>
  <c r="AI484" i="18"/>
  <c r="AH484" i="18"/>
  <c r="AF484" i="18"/>
  <c r="AE484" i="18"/>
  <c r="AC484" i="18"/>
  <c r="AB484" i="18"/>
  <c r="Z484" i="18"/>
  <c r="Y484" i="18"/>
  <c r="W484" i="18"/>
  <c r="V484" i="18"/>
  <c r="T484" i="18"/>
  <c r="S484" i="18"/>
  <c r="Q484" i="18"/>
  <c r="P484" i="18"/>
  <c r="N484" i="18"/>
  <c r="M484" i="18"/>
  <c r="K484" i="18"/>
  <c r="J484" i="18"/>
  <c r="H484" i="18"/>
  <c r="G484" i="18"/>
  <c r="E484" i="18"/>
  <c r="D484" i="18"/>
  <c r="AL483" i="18"/>
  <c r="AK483" i="18"/>
  <c r="AI483" i="18"/>
  <c r="AH483" i="18"/>
  <c r="AF483" i="18"/>
  <c r="AE483" i="18"/>
  <c r="AC483" i="18"/>
  <c r="AB483" i="18"/>
  <c r="Z483" i="18"/>
  <c r="Y483" i="18"/>
  <c r="W483" i="18"/>
  <c r="V483" i="18"/>
  <c r="T483" i="18"/>
  <c r="S483" i="18"/>
  <c r="Q483" i="18"/>
  <c r="P483" i="18"/>
  <c r="N483" i="18"/>
  <c r="M483" i="18"/>
  <c r="K483" i="18"/>
  <c r="J483" i="18"/>
  <c r="H483" i="18"/>
  <c r="G483" i="18"/>
  <c r="E483" i="18"/>
  <c r="D483" i="18"/>
  <c r="AL482" i="18"/>
  <c r="AK482" i="18"/>
  <c r="AI482" i="18"/>
  <c r="AH482" i="18"/>
  <c r="AF482" i="18"/>
  <c r="AE482" i="18"/>
  <c r="AC482" i="18"/>
  <c r="AB482" i="18"/>
  <c r="Z482" i="18"/>
  <c r="Y482" i="18"/>
  <c r="W482" i="18"/>
  <c r="V482" i="18"/>
  <c r="T482" i="18"/>
  <c r="S482" i="18"/>
  <c r="Q482" i="18"/>
  <c r="P482" i="18"/>
  <c r="N482" i="18"/>
  <c r="M482" i="18"/>
  <c r="K482" i="18"/>
  <c r="J482" i="18"/>
  <c r="H482" i="18"/>
  <c r="G482" i="18"/>
  <c r="E482" i="18"/>
  <c r="D482" i="18"/>
  <c r="AL481" i="18"/>
  <c r="AK481" i="18"/>
  <c r="AI481" i="18"/>
  <c r="AH481" i="18"/>
  <c r="AF481" i="18"/>
  <c r="AE481" i="18"/>
  <c r="AC481" i="18"/>
  <c r="AB481" i="18"/>
  <c r="Z481" i="18"/>
  <c r="Y481" i="18"/>
  <c r="W481" i="18"/>
  <c r="V481" i="18"/>
  <c r="T481" i="18"/>
  <c r="S481" i="18"/>
  <c r="Q481" i="18"/>
  <c r="P481" i="18"/>
  <c r="N481" i="18"/>
  <c r="M481" i="18"/>
  <c r="J481" i="18"/>
  <c r="H481" i="18"/>
  <c r="G481" i="18"/>
  <c r="E481" i="18"/>
  <c r="D481" i="18"/>
  <c r="AL480" i="18"/>
  <c r="AK480" i="18"/>
  <c r="AI480" i="18"/>
  <c r="AH480" i="18"/>
  <c r="AF480" i="18"/>
  <c r="AE480" i="18"/>
  <c r="AC480" i="18"/>
  <c r="AB480" i="18"/>
  <c r="Z480" i="18"/>
  <c r="Y480" i="18"/>
  <c r="W480" i="18"/>
  <c r="V480" i="18"/>
  <c r="T480" i="18"/>
  <c r="S480" i="18"/>
  <c r="Q480" i="18"/>
  <c r="P480" i="18"/>
  <c r="N480" i="18"/>
  <c r="M480" i="18"/>
  <c r="K480" i="18"/>
  <c r="J480" i="18"/>
  <c r="H480" i="18"/>
  <c r="G480" i="18"/>
  <c r="E480" i="18"/>
  <c r="D480" i="18"/>
  <c r="AL437" i="18"/>
  <c r="AK437" i="18"/>
  <c r="AI437" i="18"/>
  <c r="AH437" i="18"/>
  <c r="AF437" i="18"/>
  <c r="AE437" i="18"/>
  <c r="AC437" i="18"/>
  <c r="AB437" i="18"/>
  <c r="Z437" i="18"/>
  <c r="Y437" i="18"/>
  <c r="W437" i="18"/>
  <c r="V437" i="18"/>
  <c r="T437" i="18"/>
  <c r="S437" i="18"/>
  <c r="Q437" i="18"/>
  <c r="P437" i="18"/>
  <c r="N437" i="18"/>
  <c r="M437" i="18"/>
  <c r="K437" i="18"/>
  <c r="J437" i="18"/>
  <c r="H437" i="18"/>
  <c r="G437" i="18"/>
  <c r="E437" i="18"/>
  <c r="D437" i="18"/>
  <c r="AL436" i="18"/>
  <c r="AK436" i="18"/>
  <c r="AI436" i="18"/>
  <c r="AH436" i="18"/>
  <c r="AF436" i="18"/>
  <c r="AE436" i="18"/>
  <c r="AC436" i="18"/>
  <c r="AB436" i="18"/>
  <c r="Z436" i="18"/>
  <c r="Y436" i="18"/>
  <c r="W436" i="18"/>
  <c r="V436" i="18"/>
  <c r="T436" i="18"/>
  <c r="S436" i="18"/>
  <c r="Q436" i="18"/>
  <c r="P436" i="18"/>
  <c r="N436" i="18"/>
  <c r="M436" i="18"/>
  <c r="K436" i="18"/>
  <c r="J436" i="18"/>
  <c r="H436" i="18"/>
  <c r="G436" i="18"/>
  <c r="E436" i="18"/>
  <c r="D436" i="18"/>
  <c r="AL435" i="18"/>
  <c r="AK435" i="18"/>
  <c r="AI435" i="18"/>
  <c r="AH435" i="18"/>
  <c r="AF435" i="18"/>
  <c r="AE435" i="18"/>
  <c r="AC435" i="18"/>
  <c r="AB435" i="18"/>
  <c r="Z435" i="18"/>
  <c r="Y435" i="18"/>
  <c r="W435" i="18"/>
  <c r="V435" i="18"/>
  <c r="T435" i="18"/>
  <c r="S435" i="18"/>
  <c r="Q435" i="18"/>
  <c r="P435" i="18"/>
  <c r="N435" i="18"/>
  <c r="M435" i="18"/>
  <c r="K435" i="18"/>
  <c r="J435" i="18"/>
  <c r="H435" i="18"/>
  <c r="G435" i="18"/>
  <c r="E435" i="18"/>
  <c r="D435" i="18"/>
  <c r="AL434" i="18"/>
  <c r="AK434" i="18"/>
  <c r="AI434" i="18"/>
  <c r="AH434" i="18"/>
  <c r="AF434" i="18"/>
  <c r="AE434" i="18"/>
  <c r="AC434" i="18"/>
  <c r="AB434" i="18"/>
  <c r="Z434" i="18"/>
  <c r="Y434" i="18"/>
  <c r="W434" i="18"/>
  <c r="V434" i="18"/>
  <c r="T434" i="18"/>
  <c r="S434" i="18"/>
  <c r="Q434" i="18"/>
  <c r="P434" i="18"/>
  <c r="N434" i="18"/>
  <c r="M434" i="18"/>
  <c r="K434" i="18"/>
  <c r="J434" i="18"/>
  <c r="H434" i="18"/>
  <c r="G434" i="18"/>
  <c r="E434" i="18"/>
  <c r="D434" i="18"/>
  <c r="AL433" i="18"/>
  <c r="AK433" i="18"/>
  <c r="AI433" i="18"/>
  <c r="AH433" i="18"/>
  <c r="AF433" i="18"/>
  <c r="AE433" i="18"/>
  <c r="AC433" i="18"/>
  <c r="AB433" i="18"/>
  <c r="Z433" i="18"/>
  <c r="Y433" i="18"/>
  <c r="W433" i="18"/>
  <c r="V433" i="18"/>
  <c r="T433" i="18"/>
  <c r="S433" i="18"/>
  <c r="Q433" i="18"/>
  <c r="P433" i="18"/>
  <c r="N433" i="18"/>
  <c r="M433" i="18"/>
  <c r="K433" i="18"/>
  <c r="J433" i="18"/>
  <c r="H433" i="18"/>
  <c r="G433" i="18"/>
  <c r="E433" i="18"/>
  <c r="D433" i="18"/>
  <c r="AK432" i="18"/>
  <c r="AH432" i="18"/>
  <c r="AE432" i="18"/>
  <c r="AB432" i="18"/>
  <c r="Y432" i="18"/>
  <c r="V432" i="18"/>
  <c r="S432" i="18"/>
  <c r="P432" i="18"/>
  <c r="M432" i="18"/>
  <c r="J432" i="18"/>
  <c r="G432" i="18"/>
  <c r="D432" i="18"/>
  <c r="AL431" i="18"/>
  <c r="AK431" i="18"/>
  <c r="AI431" i="18"/>
  <c r="AH431" i="18"/>
  <c r="AF431" i="18"/>
  <c r="AE431" i="18"/>
  <c r="AC431" i="18"/>
  <c r="AB431" i="18"/>
  <c r="Z431" i="18"/>
  <c r="Y431" i="18"/>
  <c r="W431" i="18"/>
  <c r="V431" i="18"/>
  <c r="T431" i="18"/>
  <c r="S431" i="18"/>
  <c r="Q431" i="18"/>
  <c r="P431" i="18"/>
  <c r="N431" i="18"/>
  <c r="M431" i="18"/>
  <c r="K431" i="18"/>
  <c r="J431" i="18"/>
  <c r="H431" i="18"/>
  <c r="G431" i="18"/>
  <c r="E431" i="18"/>
  <c r="D431" i="18"/>
  <c r="AL430" i="18"/>
  <c r="AK430" i="18"/>
  <c r="AI430" i="18"/>
  <c r="AH430" i="18"/>
  <c r="AF430" i="18"/>
  <c r="AE430" i="18"/>
  <c r="AC430" i="18"/>
  <c r="AB430" i="18"/>
  <c r="Z430" i="18"/>
  <c r="Y430" i="18"/>
  <c r="W430" i="18"/>
  <c r="V430" i="18"/>
  <c r="T430" i="18"/>
  <c r="S430" i="18"/>
  <c r="Q430" i="18"/>
  <c r="P430" i="18"/>
  <c r="N430" i="18"/>
  <c r="M430" i="18"/>
  <c r="K430" i="18"/>
  <c r="J430" i="18"/>
  <c r="H430" i="18"/>
  <c r="G430" i="18"/>
  <c r="E430" i="18"/>
  <c r="D430" i="18"/>
  <c r="AL429" i="18"/>
  <c r="AK429" i="18"/>
  <c r="AI429" i="18"/>
  <c r="AH429" i="18"/>
  <c r="AF429" i="18"/>
  <c r="AE429" i="18"/>
  <c r="AC429" i="18"/>
  <c r="AB429" i="18"/>
  <c r="Z429" i="18"/>
  <c r="Y429" i="18"/>
  <c r="W429" i="18"/>
  <c r="V429" i="18"/>
  <c r="T429" i="18"/>
  <c r="S429" i="18"/>
  <c r="Q429" i="18"/>
  <c r="P429" i="18"/>
  <c r="N429" i="18"/>
  <c r="M429" i="18"/>
  <c r="K429" i="18"/>
  <c r="J429" i="18"/>
  <c r="H429" i="18"/>
  <c r="G429" i="18"/>
  <c r="E429" i="18"/>
  <c r="D429" i="18"/>
  <c r="AL428" i="18"/>
  <c r="AK428" i="18"/>
  <c r="AI428" i="18"/>
  <c r="AH428" i="18"/>
  <c r="AF428" i="18"/>
  <c r="AE428" i="18"/>
  <c r="AC428" i="18"/>
  <c r="AB428" i="18"/>
  <c r="Z428" i="18"/>
  <c r="Y428" i="18"/>
  <c r="W428" i="18"/>
  <c r="V428" i="18"/>
  <c r="T428" i="18"/>
  <c r="S428" i="18"/>
  <c r="Q428" i="18"/>
  <c r="P428" i="18"/>
  <c r="N428" i="18"/>
  <c r="M428" i="18"/>
  <c r="K428" i="18"/>
  <c r="J428" i="18"/>
  <c r="H428" i="18"/>
  <c r="G428" i="18"/>
  <c r="E428" i="18"/>
  <c r="D428" i="18"/>
  <c r="AL427" i="18"/>
  <c r="AK427" i="18"/>
  <c r="AI427" i="18"/>
  <c r="AH427" i="18"/>
  <c r="AF427" i="18"/>
  <c r="AE427" i="18"/>
  <c r="AC427" i="18"/>
  <c r="AB427" i="18"/>
  <c r="Z427" i="18"/>
  <c r="Y427" i="18"/>
  <c r="W427" i="18"/>
  <c r="V427" i="18"/>
  <c r="T427" i="18"/>
  <c r="S427" i="18"/>
  <c r="Q427" i="18"/>
  <c r="P427" i="18"/>
  <c r="N427" i="18"/>
  <c r="M427" i="18"/>
  <c r="K427" i="18"/>
  <c r="J427" i="18"/>
  <c r="H427" i="18"/>
  <c r="G427" i="18"/>
  <c r="E427" i="18"/>
  <c r="D427" i="18"/>
  <c r="AL426" i="18"/>
  <c r="AK426" i="18"/>
  <c r="AI426" i="18"/>
  <c r="AH426" i="18"/>
  <c r="AF426" i="18"/>
  <c r="AE426" i="18"/>
  <c r="AC426" i="18"/>
  <c r="AB426" i="18"/>
  <c r="Z426" i="18"/>
  <c r="Y426" i="18"/>
  <c r="W426" i="18"/>
  <c r="V426" i="18"/>
  <c r="T426" i="18"/>
  <c r="S426" i="18"/>
  <c r="Q426" i="18"/>
  <c r="P426" i="18"/>
  <c r="N426" i="18"/>
  <c r="M426" i="18"/>
  <c r="K426" i="18"/>
  <c r="J426" i="18"/>
  <c r="H426" i="18"/>
  <c r="G426" i="18"/>
  <c r="E426" i="18"/>
  <c r="D426" i="18"/>
  <c r="AL425" i="18"/>
  <c r="AK425" i="18"/>
  <c r="AI425" i="18"/>
  <c r="AH425" i="18"/>
  <c r="AF425" i="18"/>
  <c r="AE425" i="18"/>
  <c r="AC425" i="18"/>
  <c r="AB425" i="18"/>
  <c r="Z425" i="18"/>
  <c r="Y425" i="18"/>
  <c r="W425" i="18"/>
  <c r="V425" i="18"/>
  <c r="T425" i="18"/>
  <c r="S425" i="18"/>
  <c r="Q425" i="18"/>
  <c r="P425" i="18"/>
  <c r="N425" i="18"/>
  <c r="M425" i="18"/>
  <c r="K425" i="18"/>
  <c r="J425" i="18"/>
  <c r="H425" i="18"/>
  <c r="G425" i="18"/>
  <c r="E425" i="18"/>
  <c r="D425" i="18"/>
  <c r="AL424" i="18"/>
  <c r="AK424" i="18"/>
  <c r="AI424" i="18"/>
  <c r="AH424" i="18"/>
  <c r="AF424" i="18"/>
  <c r="AE424" i="18"/>
  <c r="AC424" i="18"/>
  <c r="AB424" i="18"/>
  <c r="Z424" i="18"/>
  <c r="Y424" i="18"/>
  <c r="W424" i="18"/>
  <c r="V424" i="18"/>
  <c r="T424" i="18"/>
  <c r="S424" i="18"/>
  <c r="Q424" i="18"/>
  <c r="P424" i="18"/>
  <c r="N424" i="18"/>
  <c r="M424" i="18"/>
  <c r="K424" i="18"/>
  <c r="J424" i="18"/>
  <c r="H424" i="18"/>
  <c r="G424" i="18"/>
  <c r="E424" i="18"/>
  <c r="D424" i="18"/>
  <c r="AL423" i="18"/>
  <c r="AK423" i="18"/>
  <c r="AI423" i="18"/>
  <c r="AH423" i="18"/>
  <c r="AF423" i="18"/>
  <c r="AE423" i="18"/>
  <c r="AC423" i="18"/>
  <c r="AB423" i="18"/>
  <c r="Z423" i="18"/>
  <c r="Y423" i="18"/>
  <c r="W423" i="18"/>
  <c r="V423" i="18"/>
  <c r="T423" i="18"/>
  <c r="S423" i="18"/>
  <c r="Q423" i="18"/>
  <c r="P423" i="18"/>
  <c r="N423" i="18"/>
  <c r="M423" i="18"/>
  <c r="K423" i="18"/>
  <c r="J423" i="18"/>
  <c r="H423" i="18"/>
  <c r="G423" i="18"/>
  <c r="E423" i="18"/>
  <c r="D423" i="18"/>
  <c r="AL422" i="18"/>
  <c r="AK422" i="18"/>
  <c r="AI422" i="18"/>
  <c r="AH422" i="18"/>
  <c r="AF422" i="18"/>
  <c r="AE422" i="18"/>
  <c r="AC422" i="18"/>
  <c r="AB422" i="18"/>
  <c r="Z422" i="18"/>
  <c r="Y422" i="18"/>
  <c r="W422" i="18"/>
  <c r="V422" i="18"/>
  <c r="T422" i="18"/>
  <c r="S422" i="18"/>
  <c r="Q422" i="18"/>
  <c r="P422" i="18"/>
  <c r="N422" i="18"/>
  <c r="M422" i="18"/>
  <c r="K422" i="18"/>
  <c r="J422" i="18"/>
  <c r="H422" i="18"/>
  <c r="G422" i="18"/>
  <c r="E422" i="18"/>
  <c r="D422" i="18"/>
  <c r="AL421" i="18"/>
  <c r="AK421" i="18"/>
  <c r="AI421" i="18"/>
  <c r="AH421" i="18"/>
  <c r="AF421" i="18"/>
  <c r="AE421" i="18"/>
  <c r="AC421" i="18"/>
  <c r="AB421" i="18"/>
  <c r="Z421" i="18"/>
  <c r="Y421" i="18"/>
  <c r="W421" i="18"/>
  <c r="V421" i="18"/>
  <c r="T421" i="18"/>
  <c r="S421" i="18"/>
  <c r="Q421" i="18"/>
  <c r="P421" i="18"/>
  <c r="N421" i="18"/>
  <c r="M421" i="18"/>
  <c r="K421" i="18"/>
  <c r="J421" i="18"/>
  <c r="H421" i="18"/>
  <c r="G421" i="18"/>
  <c r="E421" i="18"/>
  <c r="D421" i="18"/>
  <c r="AL420" i="18"/>
  <c r="AK420" i="18"/>
  <c r="AI420" i="18"/>
  <c r="AH420" i="18"/>
  <c r="AF420" i="18"/>
  <c r="AE420" i="18"/>
  <c r="AC420" i="18"/>
  <c r="AB420" i="18"/>
  <c r="Z420" i="18"/>
  <c r="Y420" i="18"/>
  <c r="W420" i="18"/>
  <c r="V420" i="18"/>
  <c r="T420" i="18"/>
  <c r="S420" i="18"/>
  <c r="Q420" i="18"/>
  <c r="P420" i="18"/>
  <c r="N420" i="18"/>
  <c r="M420" i="18"/>
  <c r="K420" i="18"/>
  <c r="J420" i="18"/>
  <c r="H420" i="18"/>
  <c r="G420" i="18"/>
  <c r="E420" i="18"/>
  <c r="D420" i="18"/>
  <c r="AL419" i="18"/>
  <c r="AK419" i="18"/>
  <c r="AI419" i="18"/>
  <c r="AH419" i="18"/>
  <c r="AF419" i="18"/>
  <c r="AE419" i="18"/>
  <c r="AC419" i="18"/>
  <c r="AB419" i="18"/>
  <c r="Z419" i="18"/>
  <c r="Y419" i="18"/>
  <c r="W419" i="18"/>
  <c r="V419" i="18"/>
  <c r="T419" i="18"/>
  <c r="S419" i="18"/>
  <c r="Q419" i="18"/>
  <c r="P419" i="18"/>
  <c r="N419" i="18"/>
  <c r="M419" i="18"/>
  <c r="K419" i="18"/>
  <c r="J419" i="18"/>
  <c r="H419" i="18"/>
  <c r="G419" i="18"/>
  <c r="E419" i="18"/>
  <c r="D419" i="18"/>
  <c r="AL418" i="18"/>
  <c r="AK418" i="18"/>
  <c r="AI418" i="18"/>
  <c r="AH418" i="18"/>
  <c r="AF418" i="18"/>
  <c r="AE418" i="18"/>
  <c r="AC418" i="18"/>
  <c r="AB418" i="18"/>
  <c r="Z418" i="18"/>
  <c r="Y418" i="18"/>
  <c r="W418" i="18"/>
  <c r="V418" i="18"/>
  <c r="T418" i="18"/>
  <c r="S418" i="18"/>
  <c r="Q418" i="18"/>
  <c r="P418" i="18"/>
  <c r="N418" i="18"/>
  <c r="M418" i="18"/>
  <c r="K418" i="18"/>
  <c r="J418" i="18"/>
  <c r="H418" i="18"/>
  <c r="G418" i="18"/>
  <c r="E418" i="18"/>
  <c r="D418" i="18"/>
  <c r="AL417" i="18"/>
  <c r="AK417" i="18"/>
  <c r="AI417" i="18"/>
  <c r="AH417" i="18"/>
  <c r="AF417" i="18"/>
  <c r="AE417" i="18"/>
  <c r="AC417" i="18"/>
  <c r="AB417" i="18"/>
  <c r="Z417" i="18"/>
  <c r="Y417" i="18"/>
  <c r="W417" i="18"/>
  <c r="V417" i="18"/>
  <c r="T417" i="18"/>
  <c r="S417" i="18"/>
  <c r="Q417" i="18"/>
  <c r="P417" i="18"/>
  <c r="N417" i="18"/>
  <c r="M417" i="18"/>
  <c r="K417" i="18"/>
  <c r="J417" i="18"/>
  <c r="H417" i="18"/>
  <c r="G417" i="18"/>
  <c r="E417" i="18"/>
  <c r="D417" i="18"/>
  <c r="AL416" i="18"/>
  <c r="AK416" i="18"/>
  <c r="AI416" i="18"/>
  <c r="AH416" i="18"/>
  <c r="AF416" i="18"/>
  <c r="AE416" i="18"/>
  <c r="AC416" i="18"/>
  <c r="AB416" i="18"/>
  <c r="Z416" i="18"/>
  <c r="Y416" i="18"/>
  <c r="W416" i="18"/>
  <c r="V416" i="18"/>
  <c r="T416" i="18"/>
  <c r="S416" i="18"/>
  <c r="Q416" i="18"/>
  <c r="P416" i="18"/>
  <c r="N416" i="18"/>
  <c r="M416" i="18"/>
  <c r="K416" i="18"/>
  <c r="J416" i="18"/>
  <c r="H416" i="18"/>
  <c r="G416" i="18"/>
  <c r="E416" i="18"/>
  <c r="D416" i="18"/>
  <c r="AL415" i="18"/>
  <c r="AK415" i="18"/>
  <c r="AI415" i="18"/>
  <c r="AH415" i="18"/>
  <c r="AF415" i="18"/>
  <c r="AE415" i="18"/>
  <c r="AC415" i="18"/>
  <c r="AB415" i="18"/>
  <c r="Z415" i="18"/>
  <c r="Y415" i="18"/>
  <c r="W415" i="18"/>
  <c r="V415" i="18"/>
  <c r="T415" i="18"/>
  <c r="S415" i="18"/>
  <c r="Q415" i="18"/>
  <c r="P415" i="18"/>
  <c r="N415" i="18"/>
  <c r="M415" i="18"/>
  <c r="K415" i="18"/>
  <c r="J415" i="18"/>
  <c r="H415" i="18"/>
  <c r="G415" i="18"/>
  <c r="E415" i="18"/>
  <c r="D415" i="18"/>
  <c r="AL307" i="18"/>
  <c r="AK307" i="18"/>
  <c r="AI307" i="18"/>
  <c r="AH307" i="18"/>
  <c r="AF307" i="18"/>
  <c r="AE307" i="18"/>
  <c r="AC307" i="18"/>
  <c r="AB307" i="18"/>
  <c r="Z307" i="18"/>
  <c r="Y307" i="18"/>
  <c r="W307" i="18"/>
  <c r="V307" i="18"/>
  <c r="T307" i="18"/>
  <c r="S307" i="18"/>
  <c r="Q307" i="18"/>
  <c r="P307" i="18"/>
  <c r="N307" i="18"/>
  <c r="M307" i="18"/>
  <c r="K307" i="18"/>
  <c r="J307" i="18"/>
  <c r="H307" i="18"/>
  <c r="G307" i="18"/>
  <c r="E307" i="18"/>
  <c r="D307" i="18"/>
  <c r="AL306" i="18"/>
  <c r="AK306" i="18"/>
  <c r="AI306" i="18"/>
  <c r="AH306" i="18"/>
  <c r="AF306" i="18"/>
  <c r="AE306" i="18"/>
  <c r="AC306" i="18"/>
  <c r="AB306" i="18"/>
  <c r="Z306" i="18"/>
  <c r="Y306" i="18"/>
  <c r="W306" i="18"/>
  <c r="V306" i="18"/>
  <c r="T306" i="18"/>
  <c r="S306" i="18"/>
  <c r="Q306" i="18"/>
  <c r="P306" i="18"/>
  <c r="N306" i="18"/>
  <c r="M306" i="18"/>
  <c r="K306" i="18"/>
  <c r="J306" i="18"/>
  <c r="H306" i="18"/>
  <c r="G306" i="18"/>
  <c r="E306" i="18"/>
  <c r="D306" i="18"/>
  <c r="AL305" i="18"/>
  <c r="AK305" i="18"/>
  <c r="AI305" i="18"/>
  <c r="AH305" i="18"/>
  <c r="AF305" i="18"/>
  <c r="AE305" i="18"/>
  <c r="AC305" i="18"/>
  <c r="AB305" i="18"/>
  <c r="Z305" i="18"/>
  <c r="Y305" i="18"/>
  <c r="W305" i="18"/>
  <c r="V305" i="18"/>
  <c r="T305" i="18"/>
  <c r="S305" i="18"/>
  <c r="Q305" i="18"/>
  <c r="P305" i="18"/>
  <c r="N305" i="18"/>
  <c r="M305" i="18"/>
  <c r="K305" i="18"/>
  <c r="J305" i="18"/>
  <c r="H305" i="18"/>
  <c r="G305" i="18"/>
  <c r="E305" i="18"/>
  <c r="D305" i="18"/>
  <c r="AL304" i="18"/>
  <c r="AK304" i="18"/>
  <c r="AI304" i="18"/>
  <c r="AH304" i="18"/>
  <c r="AF304" i="18"/>
  <c r="AE304" i="18"/>
  <c r="AC304" i="18"/>
  <c r="AB304" i="18"/>
  <c r="Z304" i="18"/>
  <c r="Y304" i="18"/>
  <c r="W304" i="18"/>
  <c r="V304" i="18"/>
  <c r="T304" i="18"/>
  <c r="S304" i="18"/>
  <c r="Q304" i="18"/>
  <c r="P304" i="18"/>
  <c r="N304" i="18"/>
  <c r="M304" i="18"/>
  <c r="K304" i="18"/>
  <c r="J304" i="18"/>
  <c r="H304" i="18"/>
  <c r="G304" i="18"/>
  <c r="E304" i="18"/>
  <c r="D304" i="18"/>
  <c r="AL303" i="18"/>
  <c r="AK303" i="18"/>
  <c r="AI303" i="18"/>
  <c r="AH303" i="18"/>
  <c r="AF303" i="18"/>
  <c r="AE303" i="18"/>
  <c r="AC303" i="18"/>
  <c r="AB303" i="18"/>
  <c r="Z303" i="18"/>
  <c r="Y303" i="18"/>
  <c r="W303" i="18"/>
  <c r="V303" i="18"/>
  <c r="T303" i="18"/>
  <c r="S303" i="18"/>
  <c r="Q303" i="18"/>
  <c r="P303" i="18"/>
  <c r="N303" i="18"/>
  <c r="M303" i="18"/>
  <c r="K303" i="18"/>
  <c r="J303" i="18"/>
  <c r="H303" i="18"/>
  <c r="G303" i="18"/>
  <c r="E303" i="18"/>
  <c r="D303" i="18"/>
  <c r="AK302" i="18"/>
  <c r="AH302" i="18"/>
  <c r="AE302" i="18"/>
  <c r="AB302" i="18"/>
  <c r="Y302" i="18"/>
  <c r="V302" i="18"/>
  <c r="S302" i="18"/>
  <c r="P302" i="18"/>
  <c r="M302" i="18"/>
  <c r="J302" i="18"/>
  <c r="G302" i="18"/>
  <c r="D302" i="18"/>
  <c r="AL301" i="18"/>
  <c r="AK301" i="18"/>
  <c r="AI301" i="18"/>
  <c r="AH301" i="18"/>
  <c r="AF301" i="18"/>
  <c r="AE301" i="18"/>
  <c r="AC301" i="18"/>
  <c r="AB301" i="18"/>
  <c r="Z301" i="18"/>
  <c r="Y301" i="18"/>
  <c r="W301" i="18"/>
  <c r="V301" i="18"/>
  <c r="T301" i="18"/>
  <c r="S301" i="18"/>
  <c r="Q301" i="18"/>
  <c r="P301" i="18"/>
  <c r="N301" i="18"/>
  <c r="M301" i="18"/>
  <c r="K301" i="18"/>
  <c r="J301" i="18"/>
  <c r="H301" i="18"/>
  <c r="G301" i="18"/>
  <c r="E301" i="18"/>
  <c r="D301" i="18"/>
  <c r="AL300" i="18"/>
  <c r="AK300" i="18"/>
  <c r="AI300" i="18"/>
  <c r="AH300" i="18"/>
  <c r="AF300" i="18"/>
  <c r="AE300" i="18"/>
  <c r="AC300" i="18"/>
  <c r="AB300" i="18"/>
  <c r="Z300" i="18"/>
  <c r="Y300" i="18"/>
  <c r="W300" i="18"/>
  <c r="V300" i="18"/>
  <c r="T300" i="18"/>
  <c r="S300" i="18"/>
  <c r="Q300" i="18"/>
  <c r="P300" i="18"/>
  <c r="N300" i="18"/>
  <c r="M300" i="18"/>
  <c r="K300" i="18"/>
  <c r="J300" i="18"/>
  <c r="H300" i="18"/>
  <c r="G300" i="18"/>
  <c r="E300" i="18"/>
  <c r="D300" i="18"/>
  <c r="AL299" i="18"/>
  <c r="AK299" i="18"/>
  <c r="AI299" i="18"/>
  <c r="AH299" i="18"/>
  <c r="AF299" i="18"/>
  <c r="AE299" i="18"/>
  <c r="AC299" i="18"/>
  <c r="AB299" i="18"/>
  <c r="Z299" i="18"/>
  <c r="Y299" i="18"/>
  <c r="W299" i="18"/>
  <c r="V299" i="18"/>
  <c r="T299" i="18"/>
  <c r="S299" i="18"/>
  <c r="Q299" i="18"/>
  <c r="P299" i="18"/>
  <c r="N299" i="18"/>
  <c r="M299" i="18"/>
  <c r="K299" i="18"/>
  <c r="J299" i="18"/>
  <c r="H299" i="18"/>
  <c r="G299" i="18"/>
  <c r="E299" i="18"/>
  <c r="D299" i="18"/>
  <c r="AL298" i="18"/>
  <c r="AK298" i="18"/>
  <c r="AI298" i="18"/>
  <c r="AH298" i="18"/>
  <c r="AF298" i="18"/>
  <c r="AE298" i="18"/>
  <c r="AC298" i="18"/>
  <c r="AB298" i="18"/>
  <c r="Z298" i="18"/>
  <c r="Y298" i="18"/>
  <c r="W298" i="18"/>
  <c r="V298" i="18"/>
  <c r="T298" i="18"/>
  <c r="S298" i="18"/>
  <c r="Q298" i="18"/>
  <c r="P298" i="18"/>
  <c r="N298" i="18"/>
  <c r="M298" i="18"/>
  <c r="K298" i="18"/>
  <c r="J298" i="18"/>
  <c r="H298" i="18"/>
  <c r="G298" i="18"/>
  <c r="E298" i="18"/>
  <c r="D298" i="18"/>
  <c r="AL297" i="18"/>
  <c r="AK297" i="18"/>
  <c r="AI297" i="18"/>
  <c r="AH297" i="18"/>
  <c r="AF297" i="18"/>
  <c r="AE297" i="18"/>
  <c r="AC297" i="18"/>
  <c r="AB297" i="18"/>
  <c r="Z297" i="18"/>
  <c r="Y297" i="18"/>
  <c r="W297" i="18"/>
  <c r="V297" i="18"/>
  <c r="T297" i="18"/>
  <c r="S297" i="18"/>
  <c r="Q297" i="18"/>
  <c r="P297" i="18"/>
  <c r="N297" i="18"/>
  <c r="M297" i="18"/>
  <c r="K297" i="18"/>
  <c r="J297" i="18"/>
  <c r="H297" i="18"/>
  <c r="G297" i="18"/>
  <c r="E297" i="18"/>
  <c r="D297" i="18"/>
  <c r="AL296" i="18"/>
  <c r="AK296" i="18"/>
  <c r="AI296" i="18"/>
  <c r="AH296" i="18"/>
  <c r="AF296" i="18"/>
  <c r="AE296" i="18"/>
  <c r="AC296" i="18"/>
  <c r="AB296" i="18"/>
  <c r="Z296" i="18"/>
  <c r="Y296" i="18"/>
  <c r="W296" i="18"/>
  <c r="V296" i="18"/>
  <c r="T296" i="18"/>
  <c r="S296" i="18"/>
  <c r="Q296" i="18"/>
  <c r="P296" i="18"/>
  <c r="N296" i="18"/>
  <c r="M296" i="18"/>
  <c r="K296" i="18"/>
  <c r="J296" i="18"/>
  <c r="H296" i="18"/>
  <c r="G296" i="18"/>
  <c r="E296" i="18"/>
  <c r="D296" i="18"/>
  <c r="AL295" i="18"/>
  <c r="AK295" i="18"/>
  <c r="AI295" i="18"/>
  <c r="AH295" i="18"/>
  <c r="AF295" i="18"/>
  <c r="AE295" i="18"/>
  <c r="AC295" i="18"/>
  <c r="AB295" i="18"/>
  <c r="Z295" i="18"/>
  <c r="Y295" i="18"/>
  <c r="W295" i="18"/>
  <c r="V295" i="18"/>
  <c r="T295" i="18"/>
  <c r="S295" i="18"/>
  <c r="Q295" i="18"/>
  <c r="P295" i="18"/>
  <c r="N295" i="18"/>
  <c r="M295" i="18"/>
  <c r="K295" i="18"/>
  <c r="J295" i="18"/>
  <c r="H295" i="18"/>
  <c r="G295" i="18"/>
  <c r="E295" i="18"/>
  <c r="D295" i="18"/>
  <c r="AL294" i="18"/>
  <c r="AK294" i="18"/>
  <c r="AI294" i="18"/>
  <c r="AH294" i="18"/>
  <c r="AF294" i="18"/>
  <c r="AE294" i="18"/>
  <c r="AC294" i="18"/>
  <c r="AB294" i="18"/>
  <c r="Z294" i="18"/>
  <c r="Y294" i="18"/>
  <c r="W294" i="18"/>
  <c r="V294" i="18"/>
  <c r="T294" i="18"/>
  <c r="S294" i="18"/>
  <c r="Q294" i="18"/>
  <c r="P294" i="18"/>
  <c r="N294" i="18"/>
  <c r="M294" i="18"/>
  <c r="K294" i="18"/>
  <c r="J294" i="18"/>
  <c r="H294" i="18"/>
  <c r="G294" i="18"/>
  <c r="E294" i="18"/>
  <c r="D294" i="18"/>
  <c r="AL293" i="18"/>
  <c r="AK293" i="18"/>
  <c r="AI293" i="18"/>
  <c r="AH293" i="18"/>
  <c r="AF293" i="18"/>
  <c r="AE293" i="18"/>
  <c r="AC293" i="18"/>
  <c r="AB293" i="18"/>
  <c r="Z293" i="18"/>
  <c r="Y293" i="18"/>
  <c r="W293" i="18"/>
  <c r="V293" i="18"/>
  <c r="T293" i="18"/>
  <c r="S293" i="18"/>
  <c r="Q293" i="18"/>
  <c r="P293" i="18"/>
  <c r="N293" i="18"/>
  <c r="M293" i="18"/>
  <c r="K293" i="18"/>
  <c r="J293" i="18"/>
  <c r="H293" i="18"/>
  <c r="G293" i="18"/>
  <c r="E293" i="18"/>
  <c r="D293" i="18"/>
  <c r="AL292" i="18"/>
  <c r="AK292" i="18"/>
  <c r="AI292" i="18"/>
  <c r="AH292" i="18"/>
  <c r="AF292" i="18"/>
  <c r="AE292" i="18"/>
  <c r="AC292" i="18"/>
  <c r="AB292" i="18"/>
  <c r="Z292" i="18"/>
  <c r="Y292" i="18"/>
  <c r="W292" i="18"/>
  <c r="V292" i="18"/>
  <c r="T292" i="18"/>
  <c r="S292" i="18"/>
  <c r="Q292" i="18"/>
  <c r="P292" i="18"/>
  <c r="N292" i="18"/>
  <c r="M292" i="18"/>
  <c r="K292" i="18"/>
  <c r="J292" i="18"/>
  <c r="H292" i="18"/>
  <c r="G292" i="18"/>
  <c r="E292" i="18"/>
  <c r="D292" i="18"/>
  <c r="AL291" i="18"/>
  <c r="AK291" i="18"/>
  <c r="AI291" i="18"/>
  <c r="AH291" i="18"/>
  <c r="AF291" i="18"/>
  <c r="AE291" i="18"/>
  <c r="AC291" i="18"/>
  <c r="AB291" i="18"/>
  <c r="Z291" i="18"/>
  <c r="Y291" i="18"/>
  <c r="W291" i="18"/>
  <c r="V291" i="18"/>
  <c r="T291" i="18"/>
  <c r="S291" i="18"/>
  <c r="Q291" i="18"/>
  <c r="P291" i="18"/>
  <c r="N291" i="18"/>
  <c r="M291" i="18"/>
  <c r="K291" i="18"/>
  <c r="J291" i="18"/>
  <c r="H291" i="18"/>
  <c r="G291" i="18"/>
  <c r="E291" i="18"/>
  <c r="D291" i="18"/>
  <c r="AL290" i="18"/>
  <c r="AK290" i="18"/>
  <c r="AI290" i="18"/>
  <c r="AH290" i="18"/>
  <c r="AF290" i="18"/>
  <c r="AE290" i="18"/>
  <c r="AC290" i="18"/>
  <c r="AB290" i="18"/>
  <c r="Z290" i="18"/>
  <c r="Y290" i="18"/>
  <c r="W290" i="18"/>
  <c r="V290" i="18"/>
  <c r="T290" i="18"/>
  <c r="S290" i="18"/>
  <c r="Q290" i="18"/>
  <c r="P290" i="18"/>
  <c r="N290" i="18"/>
  <c r="M290" i="18"/>
  <c r="K290" i="18"/>
  <c r="J290" i="18"/>
  <c r="H290" i="18"/>
  <c r="G290" i="18"/>
  <c r="E290" i="18"/>
  <c r="D290" i="18"/>
  <c r="AL289" i="18"/>
  <c r="AK289" i="18"/>
  <c r="AI289" i="18"/>
  <c r="AH289" i="18"/>
  <c r="AF289" i="18"/>
  <c r="AE289" i="18"/>
  <c r="AC289" i="18"/>
  <c r="AB289" i="18"/>
  <c r="Z289" i="18"/>
  <c r="Y289" i="18"/>
  <c r="W289" i="18"/>
  <c r="V289" i="18"/>
  <c r="T289" i="18"/>
  <c r="S289" i="18"/>
  <c r="Q289" i="18"/>
  <c r="P289" i="18"/>
  <c r="N289" i="18"/>
  <c r="M289" i="18"/>
  <c r="K289" i="18"/>
  <c r="J289" i="18"/>
  <c r="H289" i="18"/>
  <c r="G289" i="18"/>
  <c r="E289" i="18"/>
  <c r="D289" i="18"/>
  <c r="AL288" i="18"/>
  <c r="AK288" i="18"/>
  <c r="AI288" i="18"/>
  <c r="AH288" i="18"/>
  <c r="AF288" i="18"/>
  <c r="AE288" i="18"/>
  <c r="AC288" i="18"/>
  <c r="AB288" i="18"/>
  <c r="Z288" i="18"/>
  <c r="Y288" i="18"/>
  <c r="W288" i="18"/>
  <c r="V288" i="18"/>
  <c r="T288" i="18"/>
  <c r="S288" i="18"/>
  <c r="Q288" i="18"/>
  <c r="P288" i="18"/>
  <c r="N288" i="18"/>
  <c r="M288" i="18"/>
  <c r="K288" i="18"/>
  <c r="J288" i="18"/>
  <c r="H288" i="18"/>
  <c r="G288" i="18"/>
  <c r="E288" i="18"/>
  <c r="D288" i="18"/>
  <c r="AL287" i="18"/>
  <c r="AK287" i="18"/>
  <c r="AI287" i="18"/>
  <c r="AH287" i="18"/>
  <c r="AF287" i="18"/>
  <c r="AE287" i="18"/>
  <c r="AC287" i="18"/>
  <c r="AB287" i="18"/>
  <c r="Z287" i="18"/>
  <c r="Y287" i="18"/>
  <c r="W287" i="18"/>
  <c r="V287" i="18"/>
  <c r="T287" i="18"/>
  <c r="S287" i="18"/>
  <c r="Q287" i="18"/>
  <c r="P287" i="18"/>
  <c r="N287" i="18"/>
  <c r="M287" i="18"/>
  <c r="K287" i="18"/>
  <c r="J287" i="18"/>
  <c r="H287" i="18"/>
  <c r="G287" i="18"/>
  <c r="E287" i="18"/>
  <c r="D287" i="18"/>
  <c r="AL286" i="18"/>
  <c r="AK286" i="18"/>
  <c r="AI286" i="18"/>
  <c r="AH286" i="18"/>
  <c r="AF286" i="18"/>
  <c r="AE286" i="18"/>
  <c r="AC286" i="18"/>
  <c r="AB286" i="18"/>
  <c r="Z286" i="18"/>
  <c r="Y286" i="18"/>
  <c r="W286" i="18"/>
  <c r="V286" i="18"/>
  <c r="T286" i="18"/>
  <c r="S286" i="18"/>
  <c r="Q286" i="18"/>
  <c r="P286" i="18"/>
  <c r="N286" i="18"/>
  <c r="M286" i="18"/>
  <c r="K286" i="18"/>
  <c r="J286" i="18"/>
  <c r="H286" i="18"/>
  <c r="G286" i="18"/>
  <c r="E286" i="18"/>
  <c r="D286" i="18"/>
  <c r="AL285" i="18"/>
  <c r="AK285" i="18"/>
  <c r="AI285" i="18"/>
  <c r="AH285" i="18"/>
  <c r="AF285" i="18"/>
  <c r="AE285" i="18"/>
  <c r="AC285" i="18"/>
  <c r="AB285" i="18"/>
  <c r="Z285" i="18"/>
  <c r="Y285" i="18"/>
  <c r="W285" i="18"/>
  <c r="V285" i="18"/>
  <c r="T285" i="18"/>
  <c r="S285" i="18"/>
  <c r="Q285" i="18"/>
  <c r="P285" i="18"/>
  <c r="N285" i="18"/>
  <c r="M285" i="18"/>
  <c r="K285" i="18"/>
  <c r="J285" i="18"/>
  <c r="H285" i="18"/>
  <c r="G285" i="18"/>
  <c r="E285" i="18"/>
  <c r="D285" i="18"/>
  <c r="AL242" i="18"/>
  <c r="AK242" i="18"/>
  <c r="AI242" i="18"/>
  <c r="AH242" i="18"/>
  <c r="AF242" i="18"/>
  <c r="AE242" i="18"/>
  <c r="AC242" i="18"/>
  <c r="AB242" i="18"/>
  <c r="Z242" i="18"/>
  <c r="Y242" i="18"/>
  <c r="W242" i="18"/>
  <c r="V242" i="18"/>
  <c r="T242" i="18"/>
  <c r="S242" i="18"/>
  <c r="Q242" i="18"/>
  <c r="P242" i="18"/>
  <c r="AL241" i="18"/>
  <c r="AK241" i="18"/>
  <c r="AI241" i="18"/>
  <c r="AH241" i="18"/>
  <c r="AF241" i="18"/>
  <c r="AE241" i="18"/>
  <c r="AC241" i="18"/>
  <c r="AB241" i="18"/>
  <c r="Z241" i="18"/>
  <c r="Y241" i="18"/>
  <c r="W241" i="18"/>
  <c r="V241" i="18"/>
  <c r="T241" i="18"/>
  <c r="S241" i="18"/>
  <c r="Q241" i="18"/>
  <c r="P241" i="18"/>
  <c r="AL240" i="18"/>
  <c r="AK240" i="18"/>
  <c r="AI240" i="18"/>
  <c r="AH240" i="18"/>
  <c r="AF240" i="18"/>
  <c r="AE240" i="18"/>
  <c r="AC240" i="18"/>
  <c r="AB240" i="18"/>
  <c r="Z240" i="18"/>
  <c r="Y240" i="18"/>
  <c r="W240" i="18"/>
  <c r="V240" i="18"/>
  <c r="T240" i="18"/>
  <c r="S240" i="18"/>
  <c r="Q240" i="18"/>
  <c r="P240" i="18"/>
  <c r="AL239" i="18"/>
  <c r="AK239" i="18"/>
  <c r="AI239" i="18"/>
  <c r="AH239" i="18"/>
  <c r="AF239" i="18"/>
  <c r="AE239" i="18"/>
  <c r="AC239" i="18"/>
  <c r="AB239" i="18"/>
  <c r="Z239" i="18"/>
  <c r="Y239" i="18"/>
  <c r="W239" i="18"/>
  <c r="V239" i="18"/>
  <c r="T239" i="18"/>
  <c r="S239" i="18"/>
  <c r="Q239" i="18"/>
  <c r="P239" i="18"/>
  <c r="AL238" i="18"/>
  <c r="AK238" i="18"/>
  <c r="AI238" i="18"/>
  <c r="AH238" i="18"/>
  <c r="AF238" i="18"/>
  <c r="AE238" i="18"/>
  <c r="AC238" i="18"/>
  <c r="AB238" i="18"/>
  <c r="Z238" i="18"/>
  <c r="Y238" i="18"/>
  <c r="W238" i="18"/>
  <c r="V238" i="18"/>
  <c r="T238" i="18"/>
  <c r="S238" i="18"/>
  <c r="Q238" i="18"/>
  <c r="P238" i="18"/>
  <c r="AK237" i="18"/>
  <c r="AH237" i="18"/>
  <c r="AE237" i="18"/>
  <c r="AB237" i="18"/>
  <c r="Y237" i="18"/>
  <c r="V237" i="18"/>
  <c r="S237" i="18"/>
  <c r="P237" i="18"/>
  <c r="AL236" i="18"/>
  <c r="AK236" i="18"/>
  <c r="AI236" i="18"/>
  <c r="AH236" i="18"/>
  <c r="AF236" i="18"/>
  <c r="AE236" i="18"/>
  <c r="AC236" i="18"/>
  <c r="AB236" i="18"/>
  <c r="Z236" i="18"/>
  <c r="Y236" i="18"/>
  <c r="W236" i="18"/>
  <c r="V236" i="18"/>
  <c r="T236" i="18"/>
  <c r="S236" i="18"/>
  <c r="Q236" i="18"/>
  <c r="P236" i="18"/>
  <c r="AL235" i="18"/>
  <c r="AK235" i="18"/>
  <c r="AI235" i="18"/>
  <c r="AH235" i="18"/>
  <c r="AF235" i="18"/>
  <c r="AE235" i="18"/>
  <c r="AC235" i="18"/>
  <c r="AB235" i="18"/>
  <c r="Z235" i="18"/>
  <c r="Y235" i="18"/>
  <c r="W235" i="18"/>
  <c r="V235" i="18"/>
  <c r="T235" i="18"/>
  <c r="S235" i="18"/>
  <c r="Q235" i="18"/>
  <c r="P235" i="18"/>
  <c r="AL234" i="18"/>
  <c r="AK234" i="18"/>
  <c r="AI234" i="18"/>
  <c r="AH234" i="18"/>
  <c r="AF234" i="18"/>
  <c r="AE234" i="18"/>
  <c r="AC234" i="18"/>
  <c r="AB234" i="18"/>
  <c r="Z234" i="18"/>
  <c r="Y234" i="18"/>
  <c r="W234" i="18"/>
  <c r="V234" i="18"/>
  <c r="T234" i="18"/>
  <c r="S234" i="18"/>
  <c r="Q234" i="18"/>
  <c r="P234" i="18"/>
  <c r="AL233" i="18"/>
  <c r="AK233" i="18"/>
  <c r="AI233" i="18"/>
  <c r="AH233" i="18"/>
  <c r="AF233" i="18"/>
  <c r="AE233" i="18"/>
  <c r="AC233" i="18"/>
  <c r="AB233" i="18"/>
  <c r="Z233" i="18"/>
  <c r="Y233" i="18"/>
  <c r="W233" i="18"/>
  <c r="V233" i="18"/>
  <c r="T233" i="18"/>
  <c r="S233" i="18"/>
  <c r="Q233" i="18"/>
  <c r="P233" i="18"/>
  <c r="AL232" i="18"/>
  <c r="AK232" i="18"/>
  <c r="AI232" i="18"/>
  <c r="AH232" i="18"/>
  <c r="AF232" i="18"/>
  <c r="AE232" i="18"/>
  <c r="AC232" i="18"/>
  <c r="AB232" i="18"/>
  <c r="Z232" i="18"/>
  <c r="Y232" i="18"/>
  <c r="W232" i="18"/>
  <c r="V232" i="18"/>
  <c r="T232" i="18"/>
  <c r="S232" i="18"/>
  <c r="Q232" i="18"/>
  <c r="P232" i="18"/>
  <c r="AL231" i="18"/>
  <c r="AK231" i="18"/>
  <c r="AI231" i="18"/>
  <c r="AH231" i="18"/>
  <c r="AF231" i="18"/>
  <c r="AE231" i="18"/>
  <c r="AC231" i="18"/>
  <c r="AB231" i="18"/>
  <c r="Z231" i="18"/>
  <c r="Y231" i="18"/>
  <c r="W231" i="18"/>
  <c r="V231" i="18"/>
  <c r="T231" i="18"/>
  <c r="S231" i="18"/>
  <c r="Q231" i="18"/>
  <c r="P231" i="18"/>
  <c r="AL230" i="18"/>
  <c r="AK230" i="18"/>
  <c r="AI230" i="18"/>
  <c r="AH230" i="18"/>
  <c r="AF230" i="18"/>
  <c r="AE230" i="18"/>
  <c r="AC230" i="18"/>
  <c r="AB230" i="18"/>
  <c r="Z230" i="18"/>
  <c r="Y230" i="18"/>
  <c r="W230" i="18"/>
  <c r="V230" i="18"/>
  <c r="T230" i="18"/>
  <c r="S230" i="18"/>
  <c r="Q230" i="18"/>
  <c r="P230" i="18"/>
  <c r="AL229" i="18"/>
  <c r="AK229" i="18"/>
  <c r="AI229" i="18"/>
  <c r="AH229" i="18"/>
  <c r="AF229" i="18"/>
  <c r="AE229" i="18"/>
  <c r="AC229" i="18"/>
  <c r="AB229" i="18"/>
  <c r="Z229" i="18"/>
  <c r="Y229" i="18"/>
  <c r="W229" i="18"/>
  <c r="V229" i="18"/>
  <c r="T229" i="18"/>
  <c r="S229" i="18"/>
  <c r="Q229" i="18"/>
  <c r="P229" i="18"/>
  <c r="AL228" i="18"/>
  <c r="AK228" i="18"/>
  <c r="AI228" i="18"/>
  <c r="AH228" i="18"/>
  <c r="AF228" i="18"/>
  <c r="AE228" i="18"/>
  <c r="AC228" i="18"/>
  <c r="AB228" i="18"/>
  <c r="Z228" i="18"/>
  <c r="Y228" i="18"/>
  <c r="W228" i="18"/>
  <c r="V228" i="18"/>
  <c r="T228" i="18"/>
  <c r="S228" i="18"/>
  <c r="Q228" i="18"/>
  <c r="P228" i="18"/>
  <c r="AL227" i="18"/>
  <c r="AK227" i="18"/>
  <c r="AI227" i="18"/>
  <c r="AH227" i="18"/>
  <c r="AF227" i="18"/>
  <c r="AE227" i="18"/>
  <c r="AC227" i="18"/>
  <c r="AB227" i="18"/>
  <c r="Z227" i="18"/>
  <c r="Y227" i="18"/>
  <c r="W227" i="18"/>
  <c r="V227" i="18"/>
  <c r="T227" i="18"/>
  <c r="S227" i="18"/>
  <c r="Q227" i="18"/>
  <c r="P227" i="18"/>
  <c r="AL226" i="18"/>
  <c r="AK226" i="18"/>
  <c r="AI226" i="18"/>
  <c r="AH226" i="18"/>
  <c r="AF226" i="18"/>
  <c r="AE226" i="18"/>
  <c r="AC226" i="18"/>
  <c r="AB226" i="18"/>
  <c r="Z226" i="18"/>
  <c r="Y226" i="18"/>
  <c r="W226" i="18"/>
  <c r="V226" i="18"/>
  <c r="T226" i="18"/>
  <c r="S226" i="18"/>
  <c r="Q226" i="18"/>
  <c r="P226" i="18"/>
  <c r="AL225" i="18"/>
  <c r="AK225" i="18"/>
  <c r="AI225" i="18"/>
  <c r="AH225" i="18"/>
  <c r="AF225" i="18"/>
  <c r="AE225" i="18"/>
  <c r="AC225" i="18"/>
  <c r="AB225" i="18"/>
  <c r="Z225" i="18"/>
  <c r="Y225" i="18"/>
  <c r="W225" i="18"/>
  <c r="V225" i="18"/>
  <c r="T225" i="18"/>
  <c r="S225" i="18"/>
  <c r="Q225" i="18"/>
  <c r="P225" i="18"/>
  <c r="AL224" i="18"/>
  <c r="AK224" i="18"/>
  <c r="AI224" i="18"/>
  <c r="AH224" i="18"/>
  <c r="AF224" i="18"/>
  <c r="AE224" i="18"/>
  <c r="AC224" i="18"/>
  <c r="AB224" i="18"/>
  <c r="Z224" i="18"/>
  <c r="Y224" i="18"/>
  <c r="W224" i="18"/>
  <c r="V224" i="18"/>
  <c r="T224" i="18"/>
  <c r="S224" i="18"/>
  <c r="Q224" i="18"/>
  <c r="P224" i="18"/>
  <c r="AL223" i="18"/>
  <c r="AK223" i="18"/>
  <c r="AI223" i="18"/>
  <c r="AH223" i="18"/>
  <c r="AF223" i="18"/>
  <c r="AE223" i="18"/>
  <c r="AC223" i="18"/>
  <c r="AB223" i="18"/>
  <c r="Z223" i="18"/>
  <c r="Y223" i="18"/>
  <c r="W223" i="18"/>
  <c r="V223" i="18"/>
  <c r="T223" i="18"/>
  <c r="S223" i="18"/>
  <c r="Q223" i="18"/>
  <c r="P223" i="18"/>
  <c r="AL222" i="18"/>
  <c r="AK222" i="18"/>
  <c r="AI222" i="18"/>
  <c r="AH222" i="18"/>
  <c r="AF222" i="18"/>
  <c r="AE222" i="18"/>
  <c r="AC222" i="18"/>
  <c r="AB222" i="18"/>
  <c r="Z222" i="18"/>
  <c r="Y222" i="18"/>
  <c r="W222" i="18"/>
  <c r="V222" i="18"/>
  <c r="T222" i="18"/>
  <c r="S222" i="18"/>
  <c r="Q222" i="18"/>
  <c r="P222" i="18"/>
  <c r="AL221" i="18"/>
  <c r="AK221" i="18"/>
  <c r="AI221" i="18"/>
  <c r="AH221" i="18"/>
  <c r="AF221" i="18"/>
  <c r="AE221" i="18"/>
  <c r="AC221" i="18"/>
  <c r="AB221" i="18"/>
  <c r="Z221" i="18"/>
  <c r="Y221" i="18"/>
  <c r="W221" i="18"/>
  <c r="V221" i="18"/>
  <c r="T221" i="18"/>
  <c r="S221" i="18"/>
  <c r="Q221" i="18"/>
  <c r="P221" i="18"/>
  <c r="AL220" i="18"/>
  <c r="AK220" i="18"/>
  <c r="AI220" i="18"/>
  <c r="AH220" i="18"/>
  <c r="AF220" i="18"/>
  <c r="AE220" i="18"/>
  <c r="AC220" i="18"/>
  <c r="AB220" i="18"/>
  <c r="Z220" i="18"/>
  <c r="Y220" i="18"/>
  <c r="W220" i="18"/>
  <c r="V220" i="18"/>
  <c r="T220" i="18"/>
  <c r="S220" i="18"/>
  <c r="Q220" i="18"/>
  <c r="P220" i="18"/>
  <c r="AL177" i="18"/>
  <c r="AK177" i="18"/>
  <c r="AI177" i="18"/>
  <c r="AH177" i="18"/>
  <c r="AF177" i="18"/>
  <c r="AE177" i="18"/>
  <c r="AC177" i="18"/>
  <c r="AB177" i="18"/>
  <c r="Z177" i="18"/>
  <c r="Y177" i="18"/>
  <c r="W177" i="18"/>
  <c r="V177" i="18"/>
  <c r="T177" i="18"/>
  <c r="S177" i="18"/>
  <c r="Q177" i="18"/>
  <c r="P177" i="18"/>
  <c r="N177" i="18"/>
  <c r="M177" i="18"/>
  <c r="K177" i="18"/>
  <c r="J177" i="18"/>
  <c r="H177" i="18"/>
  <c r="G177" i="18"/>
  <c r="E177" i="18"/>
  <c r="D177" i="18"/>
  <c r="AL176" i="18"/>
  <c r="AK176" i="18"/>
  <c r="AI176" i="18"/>
  <c r="AH176" i="18"/>
  <c r="AF176" i="18"/>
  <c r="AE176" i="18"/>
  <c r="AC176" i="18"/>
  <c r="AB176" i="18"/>
  <c r="Z176" i="18"/>
  <c r="Y176" i="18"/>
  <c r="W176" i="18"/>
  <c r="V176" i="18"/>
  <c r="T176" i="18"/>
  <c r="S176" i="18"/>
  <c r="Q176" i="18"/>
  <c r="P176" i="18"/>
  <c r="N176" i="18"/>
  <c r="M176" i="18"/>
  <c r="K176" i="18"/>
  <c r="J176" i="18"/>
  <c r="H176" i="18"/>
  <c r="G176" i="18"/>
  <c r="E176" i="18"/>
  <c r="D176" i="18"/>
  <c r="AL175" i="18"/>
  <c r="AK175" i="18"/>
  <c r="AI175" i="18"/>
  <c r="AH175" i="18"/>
  <c r="AF175" i="18"/>
  <c r="AE175" i="18"/>
  <c r="AC175" i="18"/>
  <c r="AB175" i="18"/>
  <c r="Z175" i="18"/>
  <c r="Y175" i="18"/>
  <c r="W175" i="18"/>
  <c r="V175" i="18"/>
  <c r="T175" i="18"/>
  <c r="S175" i="18"/>
  <c r="Q175" i="18"/>
  <c r="P175" i="18"/>
  <c r="N175" i="18"/>
  <c r="M175" i="18"/>
  <c r="K175" i="18"/>
  <c r="J175" i="18"/>
  <c r="H175" i="18"/>
  <c r="G175" i="18"/>
  <c r="E175" i="18"/>
  <c r="D175" i="18"/>
  <c r="AL174" i="18"/>
  <c r="AK174" i="18"/>
  <c r="AI174" i="18"/>
  <c r="AH174" i="18"/>
  <c r="AF174" i="18"/>
  <c r="AE174" i="18"/>
  <c r="AC174" i="18"/>
  <c r="AB174" i="18"/>
  <c r="Z174" i="18"/>
  <c r="Y174" i="18"/>
  <c r="W174" i="18"/>
  <c r="V174" i="18"/>
  <c r="T174" i="18"/>
  <c r="S174" i="18"/>
  <c r="Q174" i="18"/>
  <c r="P174" i="18"/>
  <c r="N174" i="18"/>
  <c r="M174" i="18"/>
  <c r="K174" i="18"/>
  <c r="J174" i="18"/>
  <c r="H174" i="18"/>
  <c r="G174" i="18"/>
  <c r="E174" i="18"/>
  <c r="D174" i="18"/>
  <c r="AL173" i="18"/>
  <c r="AK173" i="18"/>
  <c r="AI173" i="18"/>
  <c r="AH173" i="18"/>
  <c r="AF173" i="18"/>
  <c r="AE173" i="18"/>
  <c r="AC173" i="18"/>
  <c r="AB173" i="18"/>
  <c r="Z173" i="18"/>
  <c r="Y173" i="18"/>
  <c r="W173" i="18"/>
  <c r="V173" i="18"/>
  <c r="T173" i="18"/>
  <c r="S173" i="18"/>
  <c r="Q173" i="18"/>
  <c r="P173" i="18"/>
  <c r="N173" i="18"/>
  <c r="M173" i="18"/>
  <c r="K173" i="18"/>
  <c r="J173" i="18"/>
  <c r="H173" i="18"/>
  <c r="G173" i="18"/>
  <c r="E173" i="18"/>
  <c r="D173" i="18"/>
  <c r="AK172" i="18"/>
  <c r="AH172" i="18"/>
  <c r="AE172" i="18"/>
  <c r="AB172" i="18"/>
  <c r="Y172" i="18"/>
  <c r="V172" i="18"/>
  <c r="S172" i="18"/>
  <c r="P172" i="18"/>
  <c r="M172" i="18"/>
  <c r="J172" i="18"/>
  <c r="G172" i="18"/>
  <c r="D172" i="18"/>
  <c r="AL171" i="18"/>
  <c r="AK171" i="18"/>
  <c r="AI171" i="18"/>
  <c r="AH171" i="18"/>
  <c r="AF171" i="18"/>
  <c r="AE171" i="18"/>
  <c r="AC171" i="18"/>
  <c r="AB171" i="18"/>
  <c r="Z171" i="18"/>
  <c r="Y171" i="18"/>
  <c r="W171" i="18"/>
  <c r="V171" i="18"/>
  <c r="T171" i="18"/>
  <c r="S171" i="18"/>
  <c r="Q171" i="18"/>
  <c r="P171" i="18"/>
  <c r="N171" i="18"/>
  <c r="M171" i="18"/>
  <c r="K171" i="18"/>
  <c r="J171" i="18"/>
  <c r="H171" i="18"/>
  <c r="G171" i="18"/>
  <c r="E171" i="18"/>
  <c r="D171" i="18"/>
  <c r="AL170" i="18"/>
  <c r="AK170" i="18"/>
  <c r="AI170" i="18"/>
  <c r="AH170" i="18"/>
  <c r="AF170" i="18"/>
  <c r="AE170" i="18"/>
  <c r="AC170" i="18"/>
  <c r="AB170" i="18"/>
  <c r="Z170" i="18"/>
  <c r="Y170" i="18"/>
  <c r="W170" i="18"/>
  <c r="V170" i="18"/>
  <c r="T170" i="18"/>
  <c r="S170" i="18"/>
  <c r="Q170" i="18"/>
  <c r="P170" i="18"/>
  <c r="N170" i="18"/>
  <c r="M170" i="18"/>
  <c r="K170" i="18"/>
  <c r="J170" i="18"/>
  <c r="H170" i="18"/>
  <c r="G170" i="18"/>
  <c r="E170" i="18"/>
  <c r="D170" i="18"/>
  <c r="AL169" i="18"/>
  <c r="AK169" i="18"/>
  <c r="AI169" i="18"/>
  <c r="AH169" i="18"/>
  <c r="AF169" i="18"/>
  <c r="AE169" i="18"/>
  <c r="AC169" i="18"/>
  <c r="AB169" i="18"/>
  <c r="Z169" i="18"/>
  <c r="Y169" i="18"/>
  <c r="W169" i="18"/>
  <c r="V169" i="18"/>
  <c r="T169" i="18"/>
  <c r="S169" i="18"/>
  <c r="Q169" i="18"/>
  <c r="P169" i="18"/>
  <c r="N169" i="18"/>
  <c r="M169" i="18"/>
  <c r="K169" i="18"/>
  <c r="J169" i="18"/>
  <c r="H169" i="18"/>
  <c r="G169" i="18"/>
  <c r="E169" i="18"/>
  <c r="D169" i="18"/>
  <c r="AL168" i="18"/>
  <c r="AK168" i="18"/>
  <c r="AI168" i="18"/>
  <c r="AH168" i="18"/>
  <c r="AF168" i="18"/>
  <c r="AE168" i="18"/>
  <c r="AC168" i="18"/>
  <c r="AB168" i="18"/>
  <c r="Z168" i="18"/>
  <c r="Y168" i="18"/>
  <c r="W168" i="18"/>
  <c r="V168" i="18"/>
  <c r="T168" i="18"/>
  <c r="S168" i="18"/>
  <c r="Q168" i="18"/>
  <c r="P168" i="18"/>
  <c r="N168" i="18"/>
  <c r="M168" i="18"/>
  <c r="K168" i="18"/>
  <c r="J168" i="18"/>
  <c r="H168" i="18"/>
  <c r="G168" i="18"/>
  <c r="E168" i="18"/>
  <c r="D168" i="18"/>
  <c r="AL167" i="18"/>
  <c r="AK167" i="18"/>
  <c r="AI167" i="18"/>
  <c r="AH167" i="18"/>
  <c r="AF167" i="18"/>
  <c r="AE167" i="18"/>
  <c r="AC167" i="18"/>
  <c r="AB167" i="18"/>
  <c r="Z167" i="18"/>
  <c r="Y167" i="18"/>
  <c r="W167" i="18"/>
  <c r="V167" i="18"/>
  <c r="T167" i="18"/>
  <c r="S167" i="18"/>
  <c r="Q167" i="18"/>
  <c r="P167" i="18"/>
  <c r="N167" i="18"/>
  <c r="M167" i="18"/>
  <c r="K167" i="18"/>
  <c r="J167" i="18"/>
  <c r="H167" i="18"/>
  <c r="G167" i="18"/>
  <c r="E167" i="18"/>
  <c r="D167" i="18"/>
  <c r="AL166" i="18"/>
  <c r="AK166" i="18"/>
  <c r="AI166" i="18"/>
  <c r="AH166" i="18"/>
  <c r="AF166" i="18"/>
  <c r="AE166" i="18"/>
  <c r="AC166" i="18"/>
  <c r="AB166" i="18"/>
  <c r="Z166" i="18"/>
  <c r="Y166" i="18"/>
  <c r="W166" i="18"/>
  <c r="V166" i="18"/>
  <c r="T166" i="18"/>
  <c r="S166" i="18"/>
  <c r="Q166" i="18"/>
  <c r="P166" i="18"/>
  <c r="N166" i="18"/>
  <c r="M166" i="18"/>
  <c r="K166" i="18"/>
  <c r="J166" i="18"/>
  <c r="H166" i="18"/>
  <c r="G166" i="18"/>
  <c r="E166" i="18"/>
  <c r="D166" i="18"/>
  <c r="AL165" i="18"/>
  <c r="AK165" i="18"/>
  <c r="AI165" i="18"/>
  <c r="AH165" i="18"/>
  <c r="AF165" i="18"/>
  <c r="AE165" i="18"/>
  <c r="AC165" i="18"/>
  <c r="AB165" i="18"/>
  <c r="Z165" i="18"/>
  <c r="Y165" i="18"/>
  <c r="W165" i="18"/>
  <c r="V165" i="18"/>
  <c r="T165" i="18"/>
  <c r="S165" i="18"/>
  <c r="Q165" i="18"/>
  <c r="P165" i="18"/>
  <c r="N165" i="18"/>
  <c r="M165" i="18"/>
  <c r="K165" i="18"/>
  <c r="J165" i="18"/>
  <c r="H165" i="18"/>
  <c r="G165" i="18"/>
  <c r="E165" i="18"/>
  <c r="D165" i="18"/>
  <c r="AL164" i="18"/>
  <c r="AK164" i="18"/>
  <c r="AI164" i="18"/>
  <c r="AH164" i="18"/>
  <c r="AF164" i="18"/>
  <c r="AE164" i="18"/>
  <c r="AC164" i="18"/>
  <c r="AB164" i="18"/>
  <c r="Z164" i="18"/>
  <c r="Y164" i="18"/>
  <c r="W164" i="18"/>
  <c r="V164" i="18"/>
  <c r="T164" i="18"/>
  <c r="S164" i="18"/>
  <c r="Q164" i="18"/>
  <c r="P164" i="18"/>
  <c r="N164" i="18"/>
  <c r="M164" i="18"/>
  <c r="K164" i="18"/>
  <c r="J164" i="18"/>
  <c r="H164" i="18"/>
  <c r="G164" i="18"/>
  <c r="E164" i="18"/>
  <c r="D164" i="18"/>
  <c r="AL163" i="18"/>
  <c r="AK163" i="18"/>
  <c r="AI163" i="18"/>
  <c r="AH163" i="18"/>
  <c r="AF163" i="18"/>
  <c r="AE163" i="18"/>
  <c r="AC163" i="18"/>
  <c r="AB163" i="18"/>
  <c r="Z163" i="18"/>
  <c r="Y163" i="18"/>
  <c r="W163" i="18"/>
  <c r="V163" i="18"/>
  <c r="T163" i="18"/>
  <c r="S163" i="18"/>
  <c r="Q163" i="18"/>
  <c r="P163" i="18"/>
  <c r="N163" i="18"/>
  <c r="M163" i="18"/>
  <c r="K163" i="18"/>
  <c r="J163" i="18"/>
  <c r="H163" i="18"/>
  <c r="G163" i="18"/>
  <c r="E163" i="18"/>
  <c r="D163" i="18"/>
  <c r="AL162" i="18"/>
  <c r="AK162" i="18"/>
  <c r="AI162" i="18"/>
  <c r="AH162" i="18"/>
  <c r="AF162" i="18"/>
  <c r="AE162" i="18"/>
  <c r="AC162" i="18"/>
  <c r="AB162" i="18"/>
  <c r="Z162" i="18"/>
  <c r="Y162" i="18"/>
  <c r="W162" i="18"/>
  <c r="V162" i="18"/>
  <c r="T162" i="18"/>
  <c r="S162" i="18"/>
  <c r="Q162" i="18"/>
  <c r="P162" i="18"/>
  <c r="N162" i="18"/>
  <c r="M162" i="18"/>
  <c r="K162" i="18"/>
  <c r="J162" i="18"/>
  <c r="H162" i="18"/>
  <c r="G162" i="18"/>
  <c r="E162" i="18"/>
  <c r="D162" i="18"/>
  <c r="AL161" i="18"/>
  <c r="AK161" i="18"/>
  <c r="AI161" i="18"/>
  <c r="AH161" i="18"/>
  <c r="AF161" i="18"/>
  <c r="AE161" i="18"/>
  <c r="AC161" i="18"/>
  <c r="AB161" i="18"/>
  <c r="Z161" i="18"/>
  <c r="Y161" i="18"/>
  <c r="W161" i="18"/>
  <c r="V161" i="18"/>
  <c r="T161" i="18"/>
  <c r="S161" i="18"/>
  <c r="Q161" i="18"/>
  <c r="P161" i="18"/>
  <c r="N161" i="18"/>
  <c r="M161" i="18"/>
  <c r="K161" i="18"/>
  <c r="J161" i="18"/>
  <c r="H161" i="18"/>
  <c r="G161" i="18"/>
  <c r="E161" i="18"/>
  <c r="D161" i="18"/>
  <c r="AL160" i="18"/>
  <c r="AK160" i="18"/>
  <c r="AI160" i="18"/>
  <c r="AH160" i="18"/>
  <c r="AF160" i="18"/>
  <c r="AE160" i="18"/>
  <c r="AC160" i="18"/>
  <c r="AB160" i="18"/>
  <c r="Z160" i="18"/>
  <c r="Y160" i="18"/>
  <c r="W160" i="18"/>
  <c r="V160" i="18"/>
  <c r="T160" i="18"/>
  <c r="S160" i="18"/>
  <c r="Q160" i="18"/>
  <c r="P160" i="18"/>
  <c r="N160" i="18"/>
  <c r="M160" i="18"/>
  <c r="K160" i="18"/>
  <c r="J160" i="18"/>
  <c r="H160" i="18"/>
  <c r="G160" i="18"/>
  <c r="E160" i="18"/>
  <c r="D160" i="18"/>
  <c r="AL159" i="18"/>
  <c r="AK159" i="18"/>
  <c r="AI159" i="18"/>
  <c r="AH159" i="18"/>
  <c r="AF159" i="18"/>
  <c r="AE159" i="18"/>
  <c r="AC159" i="18"/>
  <c r="AB159" i="18"/>
  <c r="Z159" i="18"/>
  <c r="Y159" i="18"/>
  <c r="W159" i="18"/>
  <c r="V159" i="18"/>
  <c r="T159" i="18"/>
  <c r="S159" i="18"/>
  <c r="Q159" i="18"/>
  <c r="P159" i="18"/>
  <c r="N159" i="18"/>
  <c r="M159" i="18"/>
  <c r="K159" i="18"/>
  <c r="J159" i="18"/>
  <c r="H159" i="18"/>
  <c r="G159" i="18"/>
  <c r="E159" i="18"/>
  <c r="D159" i="18"/>
  <c r="AL158" i="18"/>
  <c r="AK158" i="18"/>
  <c r="AI158" i="18"/>
  <c r="AH158" i="18"/>
  <c r="AF158" i="18"/>
  <c r="AE158" i="18"/>
  <c r="AC158" i="18"/>
  <c r="AB158" i="18"/>
  <c r="Z158" i="18"/>
  <c r="Y158" i="18"/>
  <c r="W158" i="18"/>
  <c r="V158" i="18"/>
  <c r="T158" i="18"/>
  <c r="S158" i="18"/>
  <c r="Q158" i="18"/>
  <c r="P158" i="18"/>
  <c r="N158" i="18"/>
  <c r="M158" i="18"/>
  <c r="K158" i="18"/>
  <c r="J158" i="18"/>
  <c r="H158" i="18"/>
  <c r="G158" i="18"/>
  <c r="E158" i="18"/>
  <c r="D158" i="18"/>
  <c r="AL157" i="18"/>
  <c r="AK157" i="18"/>
  <c r="AI157" i="18"/>
  <c r="AH157" i="18"/>
  <c r="AF157" i="18"/>
  <c r="AE157" i="18"/>
  <c r="AC157" i="18"/>
  <c r="AB157" i="18"/>
  <c r="Z157" i="18"/>
  <c r="Y157" i="18"/>
  <c r="W157" i="18"/>
  <c r="V157" i="18"/>
  <c r="T157" i="18"/>
  <c r="S157" i="18"/>
  <c r="Q157" i="18"/>
  <c r="P157" i="18"/>
  <c r="N157" i="18"/>
  <c r="M157" i="18"/>
  <c r="K157" i="18"/>
  <c r="J157" i="18"/>
  <c r="H157" i="18"/>
  <c r="G157" i="18"/>
  <c r="E157" i="18"/>
  <c r="D157" i="18"/>
  <c r="AL156" i="18"/>
  <c r="AK156" i="18"/>
  <c r="AI156" i="18"/>
  <c r="AH156" i="18"/>
  <c r="AF156" i="18"/>
  <c r="AE156" i="18"/>
  <c r="AC156" i="18"/>
  <c r="AB156" i="18"/>
  <c r="Z156" i="18"/>
  <c r="Y156" i="18"/>
  <c r="W156" i="18"/>
  <c r="V156" i="18"/>
  <c r="T156" i="18"/>
  <c r="S156" i="18"/>
  <c r="Q156" i="18"/>
  <c r="P156" i="18"/>
  <c r="N156" i="18"/>
  <c r="M156" i="18"/>
  <c r="K156" i="18"/>
  <c r="J156" i="18"/>
  <c r="H156" i="18"/>
  <c r="G156" i="18"/>
  <c r="E156" i="18"/>
  <c r="D156" i="18"/>
  <c r="AL155" i="18"/>
  <c r="AK155" i="18"/>
  <c r="AI155" i="18"/>
  <c r="AH155" i="18"/>
  <c r="AF155" i="18"/>
  <c r="AE155" i="18"/>
  <c r="AC155" i="18"/>
  <c r="AB155" i="18"/>
  <c r="Z155" i="18"/>
  <c r="Y155" i="18"/>
  <c r="W155" i="18"/>
  <c r="V155" i="18"/>
  <c r="T155" i="18"/>
  <c r="S155" i="18"/>
  <c r="Q155" i="18"/>
  <c r="P155" i="18"/>
  <c r="N155" i="18"/>
  <c r="M155" i="18"/>
  <c r="K155" i="18"/>
  <c r="J155" i="18"/>
  <c r="H155" i="18"/>
  <c r="G155" i="18"/>
  <c r="E155" i="18"/>
  <c r="D155" i="18"/>
  <c r="AL111" i="18"/>
  <c r="AL110" i="18"/>
  <c r="AL109" i="18"/>
  <c r="AL108" i="18"/>
  <c r="AL107" i="18"/>
  <c r="AL105" i="18"/>
  <c r="AL104" i="18"/>
  <c r="AL103" i="18"/>
  <c r="AL102" i="18"/>
  <c r="AL101" i="18"/>
  <c r="AL100" i="18"/>
  <c r="AL99" i="18"/>
  <c r="AL98" i="18"/>
  <c r="AL97" i="18"/>
  <c r="AL96" i="18"/>
  <c r="AL95" i="18"/>
  <c r="AL94" i="18"/>
  <c r="AL93" i="18"/>
  <c r="AL92" i="18"/>
  <c r="AL91" i="18"/>
  <c r="AL90" i="18"/>
  <c r="AL89" i="18"/>
  <c r="AI111" i="18"/>
  <c r="AI110" i="18"/>
  <c r="AI109" i="18"/>
  <c r="AI108" i="18"/>
  <c r="AI107" i="18"/>
  <c r="AI105" i="18"/>
  <c r="AI104" i="18"/>
  <c r="AI103" i="18"/>
  <c r="AI102" i="18"/>
  <c r="AI101" i="18"/>
  <c r="AI100" i="18"/>
  <c r="AI99" i="18"/>
  <c r="AI98" i="18"/>
  <c r="AI97" i="18"/>
  <c r="AI96" i="18"/>
  <c r="AI95" i="18"/>
  <c r="AI94" i="18"/>
  <c r="AI93" i="18"/>
  <c r="AI92" i="18"/>
  <c r="AI91" i="18"/>
  <c r="AI90" i="18"/>
  <c r="AI89" i="18"/>
  <c r="AF111" i="18"/>
  <c r="AF110" i="18"/>
  <c r="AF109" i="18"/>
  <c r="AF108" i="18"/>
  <c r="AF107" i="18"/>
  <c r="AF105" i="18"/>
  <c r="AF104" i="18"/>
  <c r="AF103" i="18"/>
  <c r="AF102" i="18"/>
  <c r="AF101" i="18"/>
  <c r="AF100" i="18"/>
  <c r="AF99" i="18"/>
  <c r="AF98" i="18"/>
  <c r="AF97" i="18"/>
  <c r="AF96" i="18"/>
  <c r="AF95" i="18"/>
  <c r="AF94" i="18"/>
  <c r="AF93" i="18"/>
  <c r="AF92" i="18"/>
  <c r="AF91" i="18"/>
  <c r="AF90" i="18"/>
  <c r="AF89" i="18"/>
  <c r="AC111" i="18"/>
  <c r="AC110" i="18"/>
  <c r="AC109" i="18"/>
  <c r="AC108" i="18"/>
  <c r="AC107" i="18"/>
  <c r="AC105" i="18"/>
  <c r="AC104" i="18"/>
  <c r="AC103" i="18"/>
  <c r="AC102" i="18"/>
  <c r="AC101" i="18"/>
  <c r="AC100" i="18"/>
  <c r="AC99" i="18"/>
  <c r="AC98" i="18"/>
  <c r="AC97" i="18"/>
  <c r="AC96" i="18"/>
  <c r="AC95" i="18"/>
  <c r="AC94" i="18"/>
  <c r="AC93" i="18"/>
  <c r="AC92" i="18"/>
  <c r="AC91" i="18"/>
  <c r="AC90" i="18"/>
  <c r="AC89" i="18"/>
  <c r="Z111" i="18"/>
  <c r="Z110" i="18"/>
  <c r="Z109" i="18"/>
  <c r="Z108" i="18"/>
  <c r="Z107" i="18"/>
  <c r="Z105" i="18"/>
  <c r="Z104" i="18"/>
  <c r="Z103" i="18"/>
  <c r="Z102" i="18"/>
  <c r="Z101" i="18"/>
  <c r="Z100" i="18"/>
  <c r="Z99" i="18"/>
  <c r="Z98" i="18"/>
  <c r="Z97" i="18"/>
  <c r="Z96" i="18"/>
  <c r="Z95" i="18"/>
  <c r="Z94" i="18"/>
  <c r="Z93" i="18"/>
  <c r="Z92" i="18"/>
  <c r="Z91" i="18"/>
  <c r="Z90" i="18"/>
  <c r="Z89" i="18"/>
  <c r="W111" i="18"/>
  <c r="W110" i="18"/>
  <c r="W109" i="18"/>
  <c r="W108" i="18"/>
  <c r="W107" i="18"/>
  <c r="W105" i="18"/>
  <c r="W104" i="18"/>
  <c r="W103" i="18"/>
  <c r="W102" i="18"/>
  <c r="W101" i="18"/>
  <c r="W100" i="18"/>
  <c r="W99" i="18"/>
  <c r="W98" i="18"/>
  <c r="W97" i="18"/>
  <c r="W96" i="18"/>
  <c r="W95" i="18"/>
  <c r="W94" i="18"/>
  <c r="W93" i="18"/>
  <c r="W92" i="18"/>
  <c r="W91" i="18"/>
  <c r="W90" i="18"/>
  <c r="W89" i="18"/>
  <c r="T111" i="18"/>
  <c r="T110" i="18"/>
  <c r="T109" i="18"/>
  <c r="T108" i="18"/>
  <c r="T107" i="18"/>
  <c r="T105" i="18"/>
  <c r="T104" i="18"/>
  <c r="T103" i="18"/>
  <c r="T102" i="18"/>
  <c r="T101" i="18"/>
  <c r="T100" i="18"/>
  <c r="T99" i="18"/>
  <c r="T98" i="18"/>
  <c r="T97" i="18"/>
  <c r="T96" i="18"/>
  <c r="T95" i="18"/>
  <c r="T94" i="18"/>
  <c r="T93" i="18"/>
  <c r="T92" i="18"/>
  <c r="T91" i="18"/>
  <c r="T90" i="18"/>
  <c r="T89" i="18"/>
  <c r="Q111" i="18"/>
  <c r="Q110" i="18"/>
  <c r="Q109" i="18"/>
  <c r="Q108" i="18"/>
  <c r="Q107" i="18"/>
  <c r="Q105" i="18"/>
  <c r="Q104" i="18"/>
  <c r="Q103" i="18"/>
  <c r="Q102" i="18"/>
  <c r="Q101" i="18"/>
  <c r="Q100" i="18"/>
  <c r="Q99" i="18"/>
  <c r="Q98" i="18"/>
  <c r="Q97" i="18"/>
  <c r="Q96" i="18"/>
  <c r="Q95" i="18"/>
  <c r="Q94" i="18"/>
  <c r="Q93" i="18"/>
  <c r="Q92" i="18"/>
  <c r="Q91" i="18"/>
  <c r="Q90" i="18"/>
  <c r="Q89" i="18"/>
  <c r="N111" i="18"/>
  <c r="N110" i="18"/>
  <c r="N109" i="18"/>
  <c r="N108" i="18"/>
  <c r="N107" i="18"/>
  <c r="N105" i="18"/>
  <c r="N104" i="18"/>
  <c r="N103" i="18"/>
  <c r="N102" i="18"/>
  <c r="N101" i="18"/>
  <c r="N100" i="18"/>
  <c r="N99" i="18"/>
  <c r="N98" i="18"/>
  <c r="N97" i="18"/>
  <c r="N96" i="18"/>
  <c r="N95" i="18"/>
  <c r="N94" i="18"/>
  <c r="N93" i="18"/>
  <c r="N92" i="18"/>
  <c r="N91" i="18"/>
  <c r="N90" i="18"/>
  <c r="N89" i="18"/>
  <c r="K111" i="18"/>
  <c r="K110" i="18"/>
  <c r="K109" i="18"/>
  <c r="K108" i="18"/>
  <c r="K107" i="18"/>
  <c r="K105" i="18"/>
  <c r="K104" i="18"/>
  <c r="K103" i="18"/>
  <c r="K102" i="18"/>
  <c r="K101" i="18"/>
  <c r="K100" i="18"/>
  <c r="K99" i="18"/>
  <c r="K98" i="18"/>
  <c r="K97" i="18"/>
  <c r="K96" i="18"/>
  <c r="K95" i="18"/>
  <c r="K94" i="18"/>
  <c r="K93" i="18"/>
  <c r="K92" i="18"/>
  <c r="K91" i="18"/>
  <c r="K90" i="18"/>
  <c r="K89" i="18"/>
  <c r="H111" i="18"/>
  <c r="H110" i="18"/>
  <c r="H109" i="18"/>
  <c r="H108" i="18"/>
  <c r="H107" i="18"/>
  <c r="H105" i="18"/>
  <c r="H104" i="18"/>
  <c r="H103" i="18"/>
  <c r="H102" i="18"/>
  <c r="H101" i="18"/>
  <c r="H100" i="18"/>
  <c r="H99" i="18"/>
  <c r="H98" i="18"/>
  <c r="H97" i="18"/>
  <c r="H96" i="18"/>
  <c r="H95" i="18"/>
  <c r="H94" i="18"/>
  <c r="H93" i="18"/>
  <c r="H92" i="18"/>
  <c r="H91" i="18"/>
  <c r="H90" i="18"/>
  <c r="H89" i="18"/>
  <c r="E111" i="18"/>
  <c r="E110" i="18"/>
  <c r="E109" i="18"/>
  <c r="E108" i="18"/>
  <c r="E107" i="18"/>
  <c r="E105" i="18"/>
  <c r="E104" i="18"/>
  <c r="E103" i="18"/>
  <c r="E102" i="18"/>
  <c r="E101" i="18"/>
  <c r="E100" i="18"/>
  <c r="E99" i="18"/>
  <c r="E98" i="18"/>
  <c r="E97" i="18"/>
  <c r="E96" i="18"/>
  <c r="E95" i="18"/>
  <c r="E94" i="18"/>
  <c r="E93" i="18"/>
  <c r="E92" i="18"/>
  <c r="E91" i="18"/>
  <c r="E90" i="18"/>
  <c r="E89" i="18"/>
  <c r="E42" i="18"/>
  <c r="E41" i="18"/>
  <c r="E40" i="18"/>
  <c r="E39" i="18"/>
  <c r="AK111" i="18"/>
  <c r="AH111" i="18"/>
  <c r="AE111" i="18"/>
  <c r="AB111" i="18"/>
  <c r="Y111" i="18"/>
  <c r="V111" i="18"/>
  <c r="S111" i="18"/>
  <c r="P111" i="18"/>
  <c r="M111" i="18"/>
  <c r="J111" i="18"/>
  <c r="G111" i="18"/>
  <c r="D111" i="18"/>
  <c r="AK110" i="18"/>
  <c r="AH110" i="18"/>
  <c r="AE110" i="18"/>
  <c r="AB110" i="18"/>
  <c r="Y110" i="18"/>
  <c r="V110" i="18"/>
  <c r="S110" i="18"/>
  <c r="P110" i="18"/>
  <c r="M110" i="18"/>
  <c r="J110" i="18"/>
  <c r="G110" i="18"/>
  <c r="D110" i="18"/>
  <c r="AK109" i="18"/>
  <c r="AH109" i="18"/>
  <c r="AE109" i="18"/>
  <c r="AB109" i="18"/>
  <c r="Y109" i="18"/>
  <c r="V109" i="18"/>
  <c r="S109" i="18"/>
  <c r="P109" i="18"/>
  <c r="M109" i="18"/>
  <c r="J109" i="18"/>
  <c r="G109" i="18"/>
  <c r="D109" i="18"/>
  <c r="AK108" i="18"/>
  <c r="AH108" i="18"/>
  <c r="AE108" i="18"/>
  <c r="AB108" i="18"/>
  <c r="Y108" i="18"/>
  <c r="V108" i="18"/>
  <c r="S108" i="18"/>
  <c r="P108" i="18"/>
  <c r="M108" i="18"/>
  <c r="J108" i="18"/>
  <c r="G108" i="18"/>
  <c r="D108" i="18"/>
  <c r="AK107" i="18"/>
  <c r="AH107" i="18"/>
  <c r="AE107" i="18"/>
  <c r="AB107" i="18"/>
  <c r="Y107" i="18"/>
  <c r="V107" i="18"/>
  <c r="S107" i="18"/>
  <c r="P107" i="18"/>
  <c r="M107" i="18"/>
  <c r="J107" i="18"/>
  <c r="G107" i="18"/>
  <c r="D107" i="18"/>
  <c r="AK106" i="18"/>
  <c r="AH106" i="18"/>
  <c r="AE106" i="18"/>
  <c r="AB106" i="18"/>
  <c r="Y106" i="18"/>
  <c r="V106" i="18"/>
  <c r="S106" i="18"/>
  <c r="P106" i="18"/>
  <c r="M106" i="18"/>
  <c r="J106" i="18"/>
  <c r="G106" i="18"/>
  <c r="D106" i="18"/>
  <c r="AK105" i="18"/>
  <c r="AH105" i="18"/>
  <c r="AE105" i="18"/>
  <c r="AB105" i="18"/>
  <c r="Y105" i="18"/>
  <c r="V105" i="18"/>
  <c r="S105" i="18"/>
  <c r="P105" i="18"/>
  <c r="M105" i="18"/>
  <c r="J105" i="18"/>
  <c r="G105" i="18"/>
  <c r="D105" i="18"/>
  <c r="AK104" i="18"/>
  <c r="AH104" i="18"/>
  <c r="AE104" i="18"/>
  <c r="AB104" i="18"/>
  <c r="Y104" i="18"/>
  <c r="V104" i="18"/>
  <c r="S104" i="18"/>
  <c r="P104" i="18"/>
  <c r="M104" i="18"/>
  <c r="J104" i="18"/>
  <c r="G104" i="18"/>
  <c r="D104" i="18"/>
  <c r="AK103" i="18"/>
  <c r="AH103" i="18"/>
  <c r="AE103" i="18"/>
  <c r="AB103" i="18"/>
  <c r="Y103" i="18"/>
  <c r="V103" i="18"/>
  <c r="S103" i="18"/>
  <c r="P103" i="18"/>
  <c r="M103" i="18"/>
  <c r="J103" i="18"/>
  <c r="G103" i="18"/>
  <c r="D103" i="18"/>
  <c r="AK102" i="18"/>
  <c r="AH102" i="18"/>
  <c r="AE102" i="18"/>
  <c r="AB102" i="18"/>
  <c r="Y102" i="18"/>
  <c r="V102" i="18"/>
  <c r="S102" i="18"/>
  <c r="P102" i="18"/>
  <c r="M102" i="18"/>
  <c r="J102" i="18"/>
  <c r="G102" i="18"/>
  <c r="D102" i="18"/>
  <c r="AK101" i="18"/>
  <c r="AH101" i="18"/>
  <c r="AE101" i="18"/>
  <c r="AB101" i="18"/>
  <c r="Y101" i="18"/>
  <c r="V101" i="18"/>
  <c r="S101" i="18"/>
  <c r="P101" i="18"/>
  <c r="M101" i="18"/>
  <c r="J101" i="18"/>
  <c r="G101" i="18"/>
  <c r="D101" i="18"/>
  <c r="AK100" i="18"/>
  <c r="AH100" i="18"/>
  <c r="AE100" i="18"/>
  <c r="AB100" i="18"/>
  <c r="Y100" i="18"/>
  <c r="V100" i="18"/>
  <c r="S100" i="18"/>
  <c r="P100" i="18"/>
  <c r="M100" i="18"/>
  <c r="J100" i="18"/>
  <c r="G100" i="18"/>
  <c r="D100" i="18"/>
  <c r="AK99" i="18"/>
  <c r="AH99" i="18"/>
  <c r="AE99" i="18"/>
  <c r="AB99" i="18"/>
  <c r="Y99" i="18"/>
  <c r="V99" i="18"/>
  <c r="S99" i="18"/>
  <c r="P99" i="18"/>
  <c r="M99" i="18"/>
  <c r="J99" i="18"/>
  <c r="G99" i="18"/>
  <c r="D99" i="18"/>
  <c r="AK98" i="18"/>
  <c r="AH98" i="18"/>
  <c r="AE98" i="18"/>
  <c r="AB98" i="18"/>
  <c r="Y98" i="18"/>
  <c r="V98" i="18"/>
  <c r="S98" i="18"/>
  <c r="P98" i="18"/>
  <c r="M98" i="18"/>
  <c r="J98" i="18"/>
  <c r="G98" i="18"/>
  <c r="D98" i="18"/>
  <c r="AK97" i="18"/>
  <c r="AH97" i="18"/>
  <c r="AE97" i="18"/>
  <c r="AB97" i="18"/>
  <c r="Y97" i="18"/>
  <c r="V97" i="18"/>
  <c r="S97" i="18"/>
  <c r="P97" i="18"/>
  <c r="M97" i="18"/>
  <c r="J97" i="18"/>
  <c r="G97" i="18"/>
  <c r="D97" i="18"/>
  <c r="AK96" i="18"/>
  <c r="AH96" i="18"/>
  <c r="AE96" i="18"/>
  <c r="AB96" i="18"/>
  <c r="Y96" i="18"/>
  <c r="V96" i="18"/>
  <c r="S96" i="18"/>
  <c r="P96" i="18"/>
  <c r="M96" i="18"/>
  <c r="J96" i="18"/>
  <c r="G96" i="18"/>
  <c r="D96" i="18"/>
  <c r="AK95" i="18"/>
  <c r="AH95" i="18"/>
  <c r="AE95" i="18"/>
  <c r="AB95" i="18"/>
  <c r="Y95" i="18"/>
  <c r="V95" i="18"/>
  <c r="S95" i="18"/>
  <c r="P95" i="18"/>
  <c r="M95" i="18"/>
  <c r="J95" i="18"/>
  <c r="G95" i="18"/>
  <c r="D95" i="18"/>
  <c r="AK94" i="18"/>
  <c r="AH94" i="18"/>
  <c r="AE94" i="18"/>
  <c r="AB94" i="18"/>
  <c r="Y94" i="18"/>
  <c r="V94" i="18"/>
  <c r="S94" i="18"/>
  <c r="P94" i="18"/>
  <c r="M94" i="18"/>
  <c r="J94" i="18"/>
  <c r="G94" i="18"/>
  <c r="D94" i="18"/>
  <c r="AK93" i="18"/>
  <c r="AH93" i="18"/>
  <c r="AE93" i="18"/>
  <c r="AB93" i="18"/>
  <c r="Y93" i="18"/>
  <c r="V93" i="18"/>
  <c r="S93" i="18"/>
  <c r="P93" i="18"/>
  <c r="M93" i="18"/>
  <c r="J93" i="18"/>
  <c r="G93" i="18"/>
  <c r="D93" i="18"/>
  <c r="AK92" i="18"/>
  <c r="AH92" i="18"/>
  <c r="AE92" i="18"/>
  <c r="AB92" i="18"/>
  <c r="Y92" i="18"/>
  <c r="V92" i="18"/>
  <c r="S92" i="18"/>
  <c r="P92" i="18"/>
  <c r="M92" i="18"/>
  <c r="J92" i="18"/>
  <c r="G92" i="18"/>
  <c r="D92" i="18"/>
  <c r="AK91" i="18"/>
  <c r="AH91" i="18"/>
  <c r="AE91" i="18"/>
  <c r="AB91" i="18"/>
  <c r="Y91" i="18"/>
  <c r="V91" i="18"/>
  <c r="S91" i="18"/>
  <c r="P91" i="18"/>
  <c r="M91" i="18"/>
  <c r="J91" i="18"/>
  <c r="G91" i="18"/>
  <c r="D91" i="18"/>
  <c r="AK90" i="18"/>
  <c r="AH90" i="18"/>
  <c r="AE90" i="18"/>
  <c r="AB90" i="18"/>
  <c r="Y90" i="18"/>
  <c r="V90" i="18"/>
  <c r="S90" i="18"/>
  <c r="P90" i="18"/>
  <c r="M90" i="18"/>
  <c r="J90" i="18"/>
  <c r="G90" i="18"/>
  <c r="D90" i="18"/>
  <c r="AK89" i="18"/>
  <c r="AH89" i="18"/>
  <c r="AE89" i="18"/>
  <c r="AB89" i="18"/>
  <c r="Y89" i="18"/>
  <c r="V89" i="18"/>
  <c r="S89" i="18"/>
  <c r="P89" i="18"/>
  <c r="M89" i="18"/>
  <c r="J89" i="18"/>
  <c r="G89" i="18"/>
  <c r="D89" i="18"/>
  <c r="E46" i="18"/>
  <c r="A46" i="18" s="1"/>
  <c r="E37" i="18"/>
  <c r="E36" i="18"/>
  <c r="E35" i="18"/>
  <c r="E34" i="18"/>
  <c r="E33" i="18"/>
  <c r="E32" i="18"/>
  <c r="E31" i="18"/>
  <c r="E30" i="18"/>
  <c r="E29" i="18"/>
  <c r="E28" i="18"/>
  <c r="E27" i="18"/>
  <c r="E26" i="18"/>
  <c r="E25" i="18"/>
  <c r="E24" i="18"/>
  <c r="E23" i="18"/>
  <c r="E22" i="18"/>
  <c r="D46" i="18"/>
  <c r="D42" i="18"/>
  <c r="D41" i="18"/>
  <c r="D40" i="18"/>
  <c r="D39" i="18"/>
  <c r="D38" i="18"/>
  <c r="D37" i="18"/>
  <c r="D36" i="18"/>
  <c r="D35" i="18"/>
  <c r="D34" i="18"/>
  <c r="D33" i="18"/>
  <c r="D32" i="18"/>
  <c r="D31" i="18"/>
  <c r="D30" i="18"/>
  <c r="D29" i="18"/>
  <c r="D28" i="18"/>
  <c r="D27" i="18"/>
  <c r="D26" i="18"/>
  <c r="D25" i="18"/>
  <c r="D24" i="18"/>
  <c r="D23" i="18"/>
  <c r="D22" i="18"/>
  <c r="E21" i="18"/>
  <c r="D21" i="18"/>
  <c r="D33" i="17"/>
  <c r="D32" i="17"/>
  <c r="D31" i="17"/>
  <c r="E29" i="11"/>
  <c r="E28" i="11"/>
  <c r="E28" i="12"/>
  <c r="E27" i="12" s="1"/>
  <c r="E59" i="11"/>
  <c r="D59" i="11"/>
  <c r="D54" i="11"/>
  <c r="E54" i="11"/>
  <c r="J13" i="14"/>
  <c r="D67" i="14"/>
  <c r="D66" i="14"/>
  <c r="D67" i="12"/>
  <c r="D66" i="12"/>
  <c r="E66" i="15"/>
  <c r="E69" i="15"/>
  <c r="E68" i="15"/>
  <c r="E67" i="15"/>
  <c r="E27" i="15"/>
  <c r="E28" i="15"/>
  <c r="D67" i="13"/>
  <c r="D66" i="13"/>
  <c r="D19" i="17"/>
  <c r="D18" i="17"/>
  <c r="D17" i="17"/>
  <c r="D16" i="17"/>
  <c r="D15" i="17"/>
  <c r="D14" i="17"/>
  <c r="D13" i="17"/>
  <c r="C23" i="16"/>
  <c r="R14" i="16"/>
  <c r="Q14" i="16"/>
  <c r="P14" i="16"/>
  <c r="O14" i="16"/>
  <c r="N14" i="16"/>
  <c r="M14" i="16"/>
  <c r="L14" i="16"/>
  <c r="K14" i="16"/>
  <c r="J14" i="16"/>
  <c r="I14" i="16"/>
  <c r="H14" i="16"/>
  <c r="G14" i="16"/>
  <c r="F14" i="16"/>
  <c r="D12" i="16"/>
  <c r="B12" i="16"/>
  <c r="E17" i="16" s="1"/>
  <c r="F17" i="16" s="1"/>
  <c r="F11" i="16"/>
  <c r="E11" i="16"/>
  <c r="C10" i="16"/>
  <c r="E10" i="16" s="1"/>
  <c r="F10" i="16" s="1"/>
  <c r="C9" i="16"/>
  <c r="E9" i="16" s="1"/>
  <c r="F8" i="16"/>
  <c r="E8" i="16"/>
  <c r="C8" i="16"/>
  <c r="C12" i="16" s="1"/>
  <c r="Q7" i="16"/>
  <c r="P7" i="16"/>
  <c r="O7" i="16"/>
  <c r="N7" i="16"/>
  <c r="M7" i="16"/>
  <c r="L7" i="16"/>
  <c r="K7" i="16"/>
  <c r="J7" i="16"/>
  <c r="I7" i="16"/>
  <c r="H7" i="16"/>
  <c r="G7" i="16"/>
  <c r="F7" i="16"/>
  <c r="C5" i="16"/>
  <c r="B5" i="16"/>
  <c r="A365" i="18" l="1"/>
  <c r="O503" i="18"/>
  <c r="AG503" i="18"/>
  <c r="C503" i="18"/>
  <c r="R503" i="18"/>
  <c r="I503" i="18"/>
  <c r="U503" i="18"/>
  <c r="A364" i="18"/>
  <c r="A169" i="18"/>
  <c r="A171" i="18"/>
  <c r="A173" i="18"/>
  <c r="A174" i="18"/>
  <c r="A176" i="18"/>
  <c r="A157" i="18"/>
  <c r="A159" i="18"/>
  <c r="A163" i="18"/>
  <c r="A165" i="18"/>
  <c r="A156" i="18"/>
  <c r="A158" i="18"/>
  <c r="A160" i="18"/>
  <c r="A164" i="18"/>
  <c r="A166" i="18"/>
  <c r="A39" i="18"/>
  <c r="A161" i="18"/>
  <c r="A168" i="18"/>
  <c r="A170" i="18"/>
  <c r="A285" i="18"/>
  <c r="A286" i="18"/>
  <c r="A287" i="18"/>
  <c r="A288" i="18"/>
  <c r="A289" i="18"/>
  <c r="A290" i="18"/>
  <c r="A292" i="18"/>
  <c r="A293" i="18"/>
  <c r="A294" i="18"/>
  <c r="A295" i="18"/>
  <c r="A296" i="18"/>
  <c r="A417" i="18"/>
  <c r="A418" i="18"/>
  <c r="A419" i="18"/>
  <c r="A420" i="18"/>
  <c r="A421" i="18"/>
  <c r="A422" i="18"/>
  <c r="A424" i="18"/>
  <c r="A425" i="18"/>
  <c r="A426" i="18"/>
  <c r="A427" i="18"/>
  <c r="A428" i="18"/>
  <c r="A429" i="18"/>
  <c r="A430" i="18"/>
  <c r="A431" i="18"/>
  <c r="A433" i="18"/>
  <c r="A434" i="18"/>
  <c r="A435" i="18"/>
  <c r="A498" i="18"/>
  <c r="A499" i="18"/>
  <c r="A500" i="18"/>
  <c r="A501" i="18"/>
  <c r="A23" i="18"/>
  <c r="A35" i="18"/>
  <c r="A31" i="18"/>
  <c r="A494" i="18"/>
  <c r="A27" i="18"/>
  <c r="A423" i="18"/>
  <c r="A291" i="18"/>
  <c r="A415" i="18"/>
  <c r="A416" i="18"/>
  <c r="A436" i="18"/>
  <c r="A110" i="18"/>
  <c r="A297" i="18"/>
  <c r="A298" i="18"/>
  <c r="A299" i="18"/>
  <c r="A300" i="18"/>
  <c r="A301" i="18"/>
  <c r="A303" i="18"/>
  <c r="A304" i="18"/>
  <c r="A305" i="18"/>
  <c r="A306" i="18"/>
  <c r="A222" i="18"/>
  <c r="A223" i="18"/>
  <c r="A224" i="18"/>
  <c r="A227" i="18"/>
  <c r="A228" i="18"/>
  <c r="A232" i="18"/>
  <c r="A235" i="18"/>
  <c r="A236" i="18"/>
  <c r="A239" i="18"/>
  <c r="A241" i="18"/>
  <c r="A221" i="18"/>
  <c r="A225" i="18"/>
  <c r="AO216" i="18" s="1"/>
  <c r="G5" i="20" s="1"/>
  <c r="A226" i="18"/>
  <c r="A229" i="18"/>
  <c r="A230" i="18"/>
  <c r="A231" i="18"/>
  <c r="A233" i="18"/>
  <c r="A234" i="18"/>
  <c r="A238" i="18"/>
  <c r="A240" i="18"/>
  <c r="A220" i="18"/>
  <c r="A175" i="18"/>
  <c r="A162" i="18"/>
  <c r="A167" i="18"/>
  <c r="A155" i="18"/>
  <c r="A89" i="18"/>
  <c r="A93" i="18"/>
  <c r="A97" i="18"/>
  <c r="A101" i="18"/>
  <c r="A105" i="18"/>
  <c r="A109" i="18"/>
  <c r="A92" i="18"/>
  <c r="A96" i="18"/>
  <c r="A100" i="18"/>
  <c r="A104" i="18"/>
  <c r="A108" i="18"/>
  <c r="A94" i="18"/>
  <c r="A98" i="18"/>
  <c r="A102" i="18"/>
  <c r="A91" i="18"/>
  <c r="A95" i="18"/>
  <c r="A99" i="18"/>
  <c r="A103" i="18"/>
  <c r="A107" i="18"/>
  <c r="A90" i="18"/>
  <c r="A22" i="18"/>
  <c r="A26" i="18"/>
  <c r="A30" i="18"/>
  <c r="A34" i="18"/>
  <c r="A42" i="18"/>
  <c r="A21" i="18"/>
  <c r="A25" i="18"/>
  <c r="A29" i="18"/>
  <c r="A33" i="18"/>
  <c r="A37" i="18"/>
  <c r="A41" i="18"/>
  <c r="A24" i="18"/>
  <c r="A28" i="18"/>
  <c r="A32" i="18"/>
  <c r="A36" i="18"/>
  <c r="A40" i="18"/>
  <c r="A480" i="18"/>
  <c r="A481" i="18"/>
  <c r="A482" i="18"/>
  <c r="A483" i="18"/>
  <c r="A484" i="18"/>
  <c r="A485" i="18"/>
  <c r="A486" i="18"/>
  <c r="A487" i="18"/>
  <c r="A488" i="18"/>
  <c r="A489" i="18"/>
  <c r="A490" i="18"/>
  <c r="A491" i="18"/>
  <c r="A492" i="18"/>
  <c r="A493" i="18"/>
  <c r="A495" i="18"/>
  <c r="A496" i="18"/>
  <c r="G17" i="16"/>
  <c r="H17" i="16" s="1"/>
  <c r="I17" i="16" s="1"/>
  <c r="J17" i="16" s="1"/>
  <c r="K17" i="16" s="1"/>
  <c r="L17" i="16" s="1"/>
  <c r="M17" i="16" s="1"/>
  <c r="N17" i="16" s="1"/>
  <c r="O17" i="16" s="1"/>
  <c r="P17" i="16" s="1"/>
  <c r="Q17" i="16" s="1"/>
  <c r="G10" i="16"/>
  <c r="H10" i="16" s="1"/>
  <c r="I10" i="16" s="1"/>
  <c r="J10" i="16" s="1"/>
  <c r="K10" i="16" s="1"/>
  <c r="L10" i="16" s="1"/>
  <c r="M10" i="16" s="1"/>
  <c r="N10" i="16" s="1"/>
  <c r="O10" i="16" s="1"/>
  <c r="P10" i="16" s="1"/>
  <c r="Q10" i="16" s="1"/>
  <c r="R10" i="16"/>
  <c r="F9" i="16"/>
  <c r="E12" i="16"/>
  <c r="E21" i="16"/>
  <c r="F21" i="16" s="1"/>
  <c r="F15" i="16"/>
  <c r="G8" i="16"/>
  <c r="G11" i="16"/>
  <c r="H11" i="16" s="1"/>
  <c r="I11" i="16" s="1"/>
  <c r="J11" i="16" s="1"/>
  <c r="K11" i="16" s="1"/>
  <c r="L11" i="16" s="1"/>
  <c r="M11" i="16" s="1"/>
  <c r="N11" i="16" s="1"/>
  <c r="O11" i="16" s="1"/>
  <c r="P11" i="16" s="1"/>
  <c r="Q11" i="16" s="1"/>
  <c r="F12" i="16"/>
  <c r="E16" i="16"/>
  <c r="E18" i="16"/>
  <c r="F18" i="16" s="1"/>
  <c r="E20" i="16"/>
  <c r="F20" i="16" s="1"/>
  <c r="E22" i="16"/>
  <c r="F22" i="16" s="1"/>
  <c r="F16" i="16"/>
  <c r="E15" i="16"/>
  <c r="E19" i="16"/>
  <c r="F19" i="16" s="1"/>
  <c r="AO17" i="18" l="1"/>
  <c r="D5" i="20" s="1"/>
  <c r="B3" i="18"/>
  <c r="AO411" i="18"/>
  <c r="J5" i="20" s="1"/>
  <c r="F23" i="16"/>
  <c r="F25" i="16" s="1"/>
  <c r="G21" i="16"/>
  <c r="H21" i="16" s="1"/>
  <c r="I21" i="16" s="1"/>
  <c r="J21" i="16" s="1"/>
  <c r="K21" i="16" s="1"/>
  <c r="L21" i="16" s="1"/>
  <c r="M21" i="16" s="1"/>
  <c r="N21" i="16" s="1"/>
  <c r="O21" i="16" s="1"/>
  <c r="P21" i="16" s="1"/>
  <c r="Q21" i="16" s="1"/>
  <c r="G19" i="16"/>
  <c r="H19" i="16" s="1"/>
  <c r="I19" i="16" s="1"/>
  <c r="J19" i="16" s="1"/>
  <c r="K19" i="16" s="1"/>
  <c r="L19" i="16" s="1"/>
  <c r="M19" i="16" s="1"/>
  <c r="N19" i="16" s="1"/>
  <c r="O19" i="16" s="1"/>
  <c r="P19" i="16" s="1"/>
  <c r="Q19" i="16" s="1"/>
  <c r="E23" i="16"/>
  <c r="G18" i="16"/>
  <c r="H18" i="16" s="1"/>
  <c r="I18" i="16" s="1"/>
  <c r="J18" i="16" s="1"/>
  <c r="K18" i="16" s="1"/>
  <c r="L18" i="16" s="1"/>
  <c r="M18" i="16" s="1"/>
  <c r="N18" i="16" s="1"/>
  <c r="O18" i="16" s="1"/>
  <c r="P18" i="16" s="1"/>
  <c r="Q18" i="16" s="1"/>
  <c r="H8" i="16"/>
  <c r="E25" i="16"/>
  <c r="G22" i="16"/>
  <c r="H22" i="16" s="1"/>
  <c r="I22" i="16" s="1"/>
  <c r="J22" i="16" s="1"/>
  <c r="K22" i="16" s="1"/>
  <c r="L22" i="16" s="1"/>
  <c r="M22" i="16" s="1"/>
  <c r="N22" i="16" s="1"/>
  <c r="O22" i="16" s="1"/>
  <c r="P22" i="16" s="1"/>
  <c r="Q22" i="16" s="1"/>
  <c r="G20" i="16"/>
  <c r="H20" i="16" s="1"/>
  <c r="I20" i="16" s="1"/>
  <c r="J20" i="16" s="1"/>
  <c r="K20" i="16" s="1"/>
  <c r="L20" i="16" s="1"/>
  <c r="M20" i="16" s="1"/>
  <c r="N20" i="16" s="1"/>
  <c r="O20" i="16" s="1"/>
  <c r="P20" i="16" s="1"/>
  <c r="Q20" i="16" s="1"/>
  <c r="R20" i="16"/>
  <c r="R11" i="16"/>
  <c r="G9" i="16"/>
  <c r="H9" i="16" s="1"/>
  <c r="I9" i="16" s="1"/>
  <c r="J9" i="16" s="1"/>
  <c r="K9" i="16" s="1"/>
  <c r="L9" i="16" s="1"/>
  <c r="M9" i="16" s="1"/>
  <c r="N9" i="16" s="1"/>
  <c r="O9" i="16" s="1"/>
  <c r="P9" i="16" s="1"/>
  <c r="Q9" i="16" s="1"/>
  <c r="R17" i="16"/>
  <c r="L5" i="20" l="1"/>
  <c r="R9" i="16"/>
  <c r="G15" i="16"/>
  <c r="R18" i="16"/>
  <c r="R21" i="16"/>
  <c r="G16" i="16"/>
  <c r="R22" i="16"/>
  <c r="H12" i="16"/>
  <c r="I8" i="16"/>
  <c r="H15" i="16"/>
  <c r="H23" i="16" s="1"/>
  <c r="H16" i="16"/>
  <c r="R19" i="16"/>
  <c r="G12" i="16"/>
  <c r="I15" i="16" l="1"/>
  <c r="I12" i="16"/>
  <c r="I16" i="16"/>
  <c r="J8" i="16"/>
  <c r="H25" i="16"/>
  <c r="G23" i="16"/>
  <c r="G25" i="16" s="1"/>
  <c r="I23" i="16" l="1"/>
  <c r="I25" i="16" s="1"/>
  <c r="J16" i="16"/>
  <c r="J12" i="16"/>
  <c r="K8" i="16"/>
  <c r="J15" i="16"/>
  <c r="J23" i="16" l="1"/>
  <c r="J25" i="16"/>
  <c r="K16" i="16"/>
  <c r="K12" i="16"/>
  <c r="L8" i="16"/>
  <c r="K15" i="16"/>
  <c r="K23" i="16" s="1"/>
  <c r="L12" i="16" l="1"/>
  <c r="M8" i="16"/>
  <c r="L16" i="16"/>
  <c r="L15" i="16"/>
  <c r="L23" i="16" s="1"/>
  <c r="K25" i="16"/>
  <c r="M15" i="16" l="1"/>
  <c r="N8" i="16"/>
  <c r="M12" i="16"/>
  <c r="M16" i="16"/>
  <c r="L25" i="16"/>
  <c r="N15" i="16" l="1"/>
  <c r="N23" i="16" s="1"/>
  <c r="N16" i="16"/>
  <c r="N12" i="16"/>
  <c r="N25" i="16" s="1"/>
  <c r="O8" i="16"/>
  <c r="M23" i="16"/>
  <c r="M25" i="16" s="1"/>
  <c r="O16" i="16" l="1"/>
  <c r="O12" i="16"/>
  <c r="P8" i="16"/>
  <c r="O15" i="16"/>
  <c r="O23" i="16" s="1"/>
  <c r="P12" i="16" l="1"/>
  <c r="Q8" i="16"/>
  <c r="P15" i="16"/>
  <c r="P16" i="16"/>
  <c r="O25" i="16"/>
  <c r="P23" i="16" l="1"/>
  <c r="Q15" i="16"/>
  <c r="Q16" i="16"/>
  <c r="R16" i="16" s="1"/>
  <c r="Q12" i="16"/>
  <c r="R8" i="16"/>
  <c r="R12" i="16" s="1"/>
  <c r="P25" i="16"/>
  <c r="Q23" i="16" l="1"/>
  <c r="Q25" i="16" s="1"/>
  <c r="R15" i="16"/>
  <c r="R23" i="16" s="1"/>
  <c r="R25" i="16"/>
  <c r="J11" i="13" l="1"/>
  <c r="J11" i="11"/>
  <c r="D20" i="11"/>
  <c r="D16" i="15"/>
  <c r="C66" i="15"/>
  <c r="C63" i="15"/>
  <c r="E63" i="15" s="1"/>
  <c r="C40" i="15"/>
  <c r="D22" i="15"/>
  <c r="D31" i="15"/>
  <c r="E31" i="15" s="1"/>
  <c r="D62" i="15"/>
  <c r="E62" i="15" s="1"/>
  <c r="D61" i="15"/>
  <c r="E61" i="15" s="1"/>
  <c r="E59" i="15"/>
  <c r="D59" i="15"/>
  <c r="E55" i="15"/>
  <c r="D55" i="15"/>
  <c r="E49" i="15"/>
  <c r="E43" i="15"/>
  <c r="E42" i="15"/>
  <c r="E41" i="15"/>
  <c r="E37" i="15"/>
  <c r="E36" i="15"/>
  <c r="E35" i="15"/>
  <c r="E34" i="15"/>
  <c r="E33" i="15"/>
  <c r="E32" i="15"/>
  <c r="E30" i="15"/>
  <c r="E29" i="15"/>
  <c r="C51" i="15" l="1"/>
  <c r="D66" i="15"/>
  <c r="D63" i="15"/>
  <c r="D53" i="15"/>
  <c r="C50" i="11"/>
  <c r="C66" i="14"/>
  <c r="C56" i="14"/>
  <c r="C55" i="14"/>
  <c r="C57" i="13"/>
  <c r="C56" i="13"/>
  <c r="C55" i="13"/>
  <c r="D29" i="14" l="1"/>
  <c r="D16" i="14"/>
  <c r="E67" i="14" l="1"/>
  <c r="E66" i="14"/>
  <c r="E65" i="14" s="1"/>
  <c r="D65" i="14"/>
  <c r="D62" i="14"/>
  <c r="E62" i="14" s="1"/>
  <c r="E61" i="14"/>
  <c r="D61" i="14"/>
  <c r="E60" i="14"/>
  <c r="D60" i="14"/>
  <c r="E56" i="14"/>
  <c r="E55" i="14"/>
  <c r="D55" i="14"/>
  <c r="E49" i="14"/>
  <c r="E48" i="14"/>
  <c r="E43" i="14"/>
  <c r="E42" i="14"/>
  <c r="E39" i="14" s="1"/>
  <c r="E41" i="14"/>
  <c r="E40" i="14"/>
  <c r="E37" i="14"/>
  <c r="E36" i="14"/>
  <c r="E35" i="14"/>
  <c r="E34" i="14"/>
  <c r="E33" i="14"/>
  <c r="E32" i="14"/>
  <c r="E31" i="14"/>
  <c r="E30" i="14"/>
  <c r="E29" i="14"/>
  <c r="E28" i="14" s="1"/>
  <c r="D13" i="14"/>
  <c r="J11" i="12"/>
  <c r="K11" i="12" s="1"/>
  <c r="C59" i="14" l="1"/>
  <c r="C58" i="14"/>
  <c r="C53" i="14"/>
  <c r="D53" i="14" s="1"/>
  <c r="J17" i="14" s="1"/>
  <c r="C54" i="14"/>
  <c r="D54" i="14" s="1"/>
  <c r="C57" i="14"/>
  <c r="D57" i="14" s="1"/>
  <c r="D18" i="14"/>
  <c r="H13" i="14"/>
  <c r="K13" i="14"/>
  <c r="J8" i="14"/>
  <c r="E27" i="14"/>
  <c r="J11" i="14" s="1"/>
  <c r="D56" i="14"/>
  <c r="E57" i="14"/>
  <c r="D17" i="14"/>
  <c r="C63" i="14" s="1"/>
  <c r="C67" i="12"/>
  <c r="E67" i="12" s="1"/>
  <c r="C66" i="12"/>
  <c r="E66" i="12" s="1"/>
  <c r="C63" i="13"/>
  <c r="D63" i="13" s="1"/>
  <c r="D29" i="13"/>
  <c r="E29" i="13" s="1"/>
  <c r="E28" i="13" s="1"/>
  <c r="E27" i="13" s="1"/>
  <c r="E67" i="13"/>
  <c r="E66" i="13"/>
  <c r="E63" i="13"/>
  <c r="D62" i="13"/>
  <c r="E62" i="13" s="1"/>
  <c r="D61" i="13"/>
  <c r="E61" i="13" s="1"/>
  <c r="E49" i="13"/>
  <c r="E43" i="13"/>
  <c r="E42" i="13"/>
  <c r="E41" i="13"/>
  <c r="E40" i="13"/>
  <c r="E39" i="13" s="1"/>
  <c r="E37" i="13"/>
  <c r="E36" i="13"/>
  <c r="E35" i="13"/>
  <c r="E34" i="13"/>
  <c r="E33" i="13"/>
  <c r="E32" i="13"/>
  <c r="E31" i="13"/>
  <c r="E30" i="13"/>
  <c r="D13" i="13"/>
  <c r="C55" i="12"/>
  <c r="D41" i="12"/>
  <c r="E59" i="12"/>
  <c r="D59" i="12"/>
  <c r="D63" i="12"/>
  <c r="E63" i="12"/>
  <c r="D62" i="12"/>
  <c r="D61" i="12"/>
  <c r="E62" i="12"/>
  <c r="E41" i="12"/>
  <c r="E42" i="12"/>
  <c r="C63" i="12"/>
  <c r="E43" i="12"/>
  <c r="E40" i="12"/>
  <c r="E37" i="12"/>
  <c r="E36" i="12"/>
  <c r="E35" i="12"/>
  <c r="E34" i="12"/>
  <c r="E33" i="12"/>
  <c r="E32" i="12"/>
  <c r="E31" i="12"/>
  <c r="E30" i="12"/>
  <c r="E29" i="12"/>
  <c r="D13" i="12"/>
  <c r="D17" i="12" s="1"/>
  <c r="C60" i="12" s="1"/>
  <c r="E63" i="14" l="1"/>
  <c r="D63" i="14"/>
  <c r="E54" i="14"/>
  <c r="C53" i="12"/>
  <c r="C58" i="12"/>
  <c r="C54" i="12"/>
  <c r="C57" i="12"/>
  <c r="H11" i="12"/>
  <c r="C56" i="12"/>
  <c r="I11" i="12"/>
  <c r="D17" i="13"/>
  <c r="C53" i="13"/>
  <c r="C54" i="13"/>
  <c r="E53" i="14"/>
  <c r="C46" i="14"/>
  <c r="E46" i="14" s="1"/>
  <c r="C47" i="14"/>
  <c r="E47" i="14" s="1"/>
  <c r="I11" i="14"/>
  <c r="H11" i="14"/>
  <c r="K11" i="14"/>
  <c r="I8" i="14"/>
  <c r="K8" i="14"/>
  <c r="H8" i="14"/>
  <c r="H17" i="14"/>
  <c r="K17" i="14"/>
  <c r="I17" i="14"/>
  <c r="I13" i="14"/>
  <c r="E55" i="13"/>
  <c r="H11" i="13"/>
  <c r="I11" i="13"/>
  <c r="D55" i="13"/>
  <c r="C51" i="12"/>
  <c r="E65" i="13"/>
  <c r="J8" i="13"/>
  <c r="C47" i="13"/>
  <c r="E47" i="13" s="1"/>
  <c r="E48" i="13"/>
  <c r="C46" i="12"/>
  <c r="C47" i="12"/>
  <c r="E47" i="12" s="1"/>
  <c r="C48" i="12"/>
  <c r="E48" i="12" s="1"/>
  <c r="D65" i="12"/>
  <c r="E60" i="12"/>
  <c r="D60" i="12"/>
  <c r="E39" i="12"/>
  <c r="J8" i="12" s="1"/>
  <c r="E49" i="12"/>
  <c r="E30" i="11"/>
  <c r="E31" i="11"/>
  <c r="C59" i="11"/>
  <c r="C54" i="11"/>
  <c r="C51" i="11"/>
  <c r="D51" i="11" s="1"/>
  <c r="D50" i="11"/>
  <c r="E42" i="11"/>
  <c r="E41" i="11"/>
  <c r="E38" i="11"/>
  <c r="E37" i="11"/>
  <c r="E36" i="11"/>
  <c r="E35" i="11"/>
  <c r="E34" i="11"/>
  <c r="E33" i="11"/>
  <c r="E32" i="11"/>
  <c r="D13" i="11"/>
  <c r="D54" i="12" l="1"/>
  <c r="E54" i="12"/>
  <c r="C46" i="13"/>
  <c r="E46" i="13" s="1"/>
  <c r="C59" i="13"/>
  <c r="C58" i="13"/>
  <c r="D58" i="13" s="1"/>
  <c r="E45" i="14"/>
  <c r="E58" i="14"/>
  <c r="D58" i="14"/>
  <c r="C51" i="14"/>
  <c r="D59" i="14"/>
  <c r="E59" i="14"/>
  <c r="H8" i="13"/>
  <c r="I8" i="13"/>
  <c r="J13" i="13"/>
  <c r="D65" i="13"/>
  <c r="E60" i="13"/>
  <c r="D60" i="13"/>
  <c r="E57" i="13"/>
  <c r="D57" i="13"/>
  <c r="K8" i="13"/>
  <c r="E56" i="13"/>
  <c r="D56" i="13"/>
  <c r="D54" i="13"/>
  <c r="E54" i="13"/>
  <c r="E45" i="13"/>
  <c r="J14" i="13" s="1"/>
  <c r="E53" i="13"/>
  <c r="D53" i="13"/>
  <c r="E53" i="12"/>
  <c r="D53" i="12"/>
  <c r="E56" i="12"/>
  <c r="D56" i="12"/>
  <c r="E57" i="12"/>
  <c r="D57" i="12"/>
  <c r="E55" i="12"/>
  <c r="D55" i="12"/>
  <c r="E58" i="12"/>
  <c r="D58" i="12"/>
  <c r="E61" i="12"/>
  <c r="E46" i="12"/>
  <c r="E45" i="12" s="1"/>
  <c r="K8" i="12"/>
  <c r="I8" i="12"/>
  <c r="H8" i="12"/>
  <c r="E50" i="11"/>
  <c r="E40" i="11"/>
  <c r="J8" i="11" s="1"/>
  <c r="D49" i="11"/>
  <c r="D17" i="11"/>
  <c r="E51" i="11"/>
  <c r="D47" i="5"/>
  <c r="H44" i="5"/>
  <c r="D44" i="5"/>
  <c r="D43" i="5"/>
  <c r="D13" i="5"/>
  <c r="H52" i="5"/>
  <c r="H47" i="5"/>
  <c r="H43" i="5"/>
  <c r="D52" i="5"/>
  <c r="D59" i="13" l="1"/>
  <c r="E59" i="13"/>
  <c r="E58" i="13"/>
  <c r="C51" i="13"/>
  <c r="H14" i="13"/>
  <c r="I14" i="13"/>
  <c r="K14" i="13"/>
  <c r="D52" i="14"/>
  <c r="E52" i="14"/>
  <c r="E24" i="14" s="1"/>
  <c r="J9" i="14" s="1"/>
  <c r="J14" i="14"/>
  <c r="I13" i="13"/>
  <c r="H13" i="13"/>
  <c r="K13" i="13"/>
  <c r="D52" i="13"/>
  <c r="J17" i="13" s="1"/>
  <c r="H17" i="13" s="1"/>
  <c r="E52" i="13"/>
  <c r="D52" i="12"/>
  <c r="J17" i="12" s="1"/>
  <c r="E65" i="12"/>
  <c r="J13" i="12" s="1"/>
  <c r="K13" i="12" s="1"/>
  <c r="J14" i="12"/>
  <c r="E49" i="11"/>
  <c r="J12" i="11" s="1"/>
  <c r="C46" i="11"/>
  <c r="E46" i="11" s="1"/>
  <c r="C45" i="11"/>
  <c r="E45" i="11" s="1"/>
  <c r="I17" i="13" l="1"/>
  <c r="K17" i="13"/>
  <c r="I9" i="14"/>
  <c r="D21" i="14" s="1"/>
  <c r="H9" i="14"/>
  <c r="H20" i="14" s="1"/>
  <c r="K9" i="14"/>
  <c r="I14" i="14"/>
  <c r="H14" i="14"/>
  <c r="K14" i="14"/>
  <c r="J16" i="14"/>
  <c r="J12" i="14"/>
  <c r="J10" i="14" s="1"/>
  <c r="E24" i="13"/>
  <c r="J9" i="13" s="1"/>
  <c r="K9" i="13" s="1"/>
  <c r="J12" i="13"/>
  <c r="J10" i="13" s="1"/>
  <c r="J16" i="13"/>
  <c r="E52" i="12"/>
  <c r="H17" i="12"/>
  <c r="K17" i="12"/>
  <c r="I17" i="12"/>
  <c r="I13" i="12"/>
  <c r="H13" i="12"/>
  <c r="I14" i="12"/>
  <c r="H14" i="12"/>
  <c r="K14" i="12"/>
  <c r="K12" i="11"/>
  <c r="E44" i="11"/>
  <c r="H8" i="11"/>
  <c r="K8" i="11"/>
  <c r="I8" i="11"/>
  <c r="J14" i="11" l="1"/>
  <c r="J12" i="12"/>
  <c r="E24" i="12"/>
  <c r="J9" i="12" s="1"/>
  <c r="H9" i="12" s="1"/>
  <c r="H20" i="12" s="1"/>
  <c r="H16" i="14"/>
  <c r="K16" i="14"/>
  <c r="J18" i="14"/>
  <c r="I16" i="14"/>
  <c r="I10" i="14"/>
  <c r="H10" i="14"/>
  <c r="K10" i="14"/>
  <c r="J15" i="14"/>
  <c r="I12" i="14"/>
  <c r="H12" i="14"/>
  <c r="K12" i="14"/>
  <c r="I9" i="13"/>
  <c r="H9" i="13"/>
  <c r="H20" i="13" s="1"/>
  <c r="J18" i="13"/>
  <c r="I16" i="13"/>
  <c r="H16" i="13"/>
  <c r="K16" i="13"/>
  <c r="K12" i="13"/>
  <c r="I12" i="13"/>
  <c r="H12" i="13"/>
  <c r="I10" i="13"/>
  <c r="H10" i="13"/>
  <c r="J15" i="13"/>
  <c r="K10" i="13"/>
  <c r="K11" i="13"/>
  <c r="K12" i="12"/>
  <c r="I12" i="12"/>
  <c r="J16" i="12"/>
  <c r="H16" i="12" s="1"/>
  <c r="I12" i="11"/>
  <c r="H12" i="11"/>
  <c r="H12" i="12" l="1"/>
  <c r="J10" i="12"/>
  <c r="I10" i="12" s="1"/>
  <c r="J21" i="13"/>
  <c r="I21" i="13" s="1"/>
  <c r="H18" i="14"/>
  <c r="J21" i="14"/>
  <c r="K18" i="14"/>
  <c r="I18" i="14"/>
  <c r="I15" i="14"/>
  <c r="H15" i="14"/>
  <c r="K15" i="14"/>
  <c r="K22" i="14" s="1"/>
  <c r="J22" i="14"/>
  <c r="K15" i="13"/>
  <c r="K22" i="13" s="1"/>
  <c r="K18" i="13"/>
  <c r="I18" i="13"/>
  <c r="H18" i="13"/>
  <c r="H15" i="13"/>
  <c r="I15" i="13"/>
  <c r="J22" i="13"/>
  <c r="H21" i="13"/>
  <c r="K9" i="12"/>
  <c r="I9" i="12"/>
  <c r="H10" i="12"/>
  <c r="J15" i="12"/>
  <c r="I15" i="12" s="1"/>
  <c r="I22" i="12" s="1"/>
  <c r="J18" i="12"/>
  <c r="H18" i="12" s="1"/>
  <c r="I16" i="12"/>
  <c r="K16" i="12"/>
  <c r="H14" i="11"/>
  <c r="K14" i="11"/>
  <c r="I14" i="11"/>
  <c r="K10" i="12" l="1"/>
  <c r="K11" i="11"/>
  <c r="I11" i="11"/>
  <c r="H11" i="11"/>
  <c r="K21" i="14"/>
  <c r="I21" i="14"/>
  <c r="H21" i="14"/>
  <c r="I22" i="14"/>
  <c r="H22" i="14"/>
  <c r="K21" i="13"/>
  <c r="D30" i="17" s="1"/>
  <c r="I22" i="13"/>
  <c r="H22" i="13"/>
  <c r="K18" i="12"/>
  <c r="J21" i="12"/>
  <c r="K15" i="12"/>
  <c r="K22" i="12" s="1"/>
  <c r="J22" i="12"/>
  <c r="H15" i="12"/>
  <c r="H22" i="12" s="1"/>
  <c r="I18" i="12"/>
  <c r="I21" i="12" s="1"/>
  <c r="AF38" i="18" l="1"/>
  <c r="T38" i="18"/>
  <c r="H38" i="18"/>
  <c r="AI38" i="18"/>
  <c r="W38" i="18"/>
  <c r="K38" i="18"/>
  <c r="AC38" i="18"/>
  <c r="AL38" i="18"/>
  <c r="Z38" i="18"/>
  <c r="N38" i="18"/>
  <c r="Q38" i="18"/>
  <c r="E367" i="18"/>
  <c r="K367" i="18"/>
  <c r="T367" i="18"/>
  <c r="Z367" i="18"/>
  <c r="AF367" i="18"/>
  <c r="AL367" i="18"/>
  <c r="N237" i="18"/>
  <c r="E237" i="18"/>
  <c r="K237" i="18"/>
  <c r="H367" i="18"/>
  <c r="W367" i="18"/>
  <c r="AC367" i="18"/>
  <c r="AI367" i="18"/>
  <c r="H237" i="18"/>
  <c r="N367" i="18"/>
  <c r="K497" i="18"/>
  <c r="E497" i="18"/>
  <c r="AI172" i="18"/>
  <c r="AC172" i="18"/>
  <c r="W172" i="18"/>
  <c r="Q172" i="18"/>
  <c r="K172" i="18"/>
  <c r="E172" i="18"/>
  <c r="AC106" i="18"/>
  <c r="AC112" i="18" s="1"/>
  <c r="AC145" i="18" s="1"/>
  <c r="AC147" i="18" s="1"/>
  <c r="Q106" i="18"/>
  <c r="Q112" i="18" s="1"/>
  <c r="Q145" i="18" s="1"/>
  <c r="Q147" i="18" s="1"/>
  <c r="E106" i="18"/>
  <c r="AF106" i="18"/>
  <c r="AF112" i="18" s="1"/>
  <c r="AF145" i="18" s="1"/>
  <c r="AF147" i="18" s="1"/>
  <c r="H106" i="18"/>
  <c r="H112" i="18" s="1"/>
  <c r="H145" i="18" s="1"/>
  <c r="H147" i="18" s="1"/>
  <c r="H432" i="18"/>
  <c r="AF302" i="18"/>
  <c r="N302" i="18"/>
  <c r="H302" i="18"/>
  <c r="AL237" i="18"/>
  <c r="T237" i="18"/>
  <c r="E38" i="18"/>
  <c r="Q367" i="18"/>
  <c r="AI497" i="18"/>
  <c r="AC497" i="18"/>
  <c r="W497" i="18"/>
  <c r="AI432" i="18"/>
  <c r="AC432" i="18"/>
  <c r="W432" i="18"/>
  <c r="Q432" i="18"/>
  <c r="K432" i="18"/>
  <c r="E432" i="18"/>
  <c r="AI302" i="18"/>
  <c r="AC302" i="18"/>
  <c r="W302" i="18"/>
  <c r="Q302" i="18"/>
  <c r="K302" i="18"/>
  <c r="E302" i="18"/>
  <c r="AI237" i="18"/>
  <c r="AC237" i="18"/>
  <c r="W237" i="18"/>
  <c r="Q237" i="18"/>
  <c r="T106" i="18"/>
  <c r="T112" i="18" s="1"/>
  <c r="T145" i="18" s="1"/>
  <c r="T147" i="18" s="1"/>
  <c r="Z302" i="18"/>
  <c r="Z237" i="18"/>
  <c r="Z106" i="18"/>
  <c r="Z112" i="18" s="1"/>
  <c r="Z145" i="18" s="1"/>
  <c r="Z147" i="18" s="1"/>
  <c r="N106" i="18"/>
  <c r="N112" i="18" s="1"/>
  <c r="N145" i="18" s="1"/>
  <c r="N147" i="18" s="1"/>
  <c r="Q497" i="18"/>
  <c r="N497" i="18"/>
  <c r="H497" i="18"/>
  <c r="AL172" i="18"/>
  <c r="AF172" i="18"/>
  <c r="Z172" i="18"/>
  <c r="T172" i="18"/>
  <c r="N172" i="18"/>
  <c r="H172" i="18"/>
  <c r="AI106" i="18"/>
  <c r="AI112" i="18" s="1"/>
  <c r="AI145" i="18" s="1"/>
  <c r="AI147" i="18" s="1"/>
  <c r="W106" i="18"/>
  <c r="W112" i="18" s="1"/>
  <c r="W145" i="18" s="1"/>
  <c r="W147" i="18" s="1"/>
  <c r="K106" i="18"/>
  <c r="K112" i="18" s="1"/>
  <c r="K145" i="18" s="1"/>
  <c r="K147" i="18" s="1"/>
  <c r="AL497" i="18"/>
  <c r="AF497" i="18"/>
  <c r="Z497" i="18"/>
  <c r="T497" i="18"/>
  <c r="AL432" i="18"/>
  <c r="AF432" i="18"/>
  <c r="Z432" i="18"/>
  <c r="T432" i="18"/>
  <c r="N432" i="18"/>
  <c r="AL302" i="18"/>
  <c r="T302" i="18"/>
  <c r="AF237" i="18"/>
  <c r="AL106" i="18"/>
  <c r="AL112" i="18" s="1"/>
  <c r="AL145" i="18" s="1"/>
  <c r="AL147" i="18" s="1"/>
  <c r="H21" i="12"/>
  <c r="K21" i="12"/>
  <c r="AL412" i="18" l="1"/>
  <c r="AL438" i="18"/>
  <c r="AL471" i="18" s="1"/>
  <c r="AL473" i="18" s="1"/>
  <c r="AF152" i="18"/>
  <c r="AF178" i="18"/>
  <c r="AF211" i="18" s="1"/>
  <c r="AF213" i="18" s="1"/>
  <c r="Z308" i="18"/>
  <c r="Z341" i="18" s="1"/>
  <c r="Z343" i="18" s="1"/>
  <c r="Z282" i="18"/>
  <c r="Q308" i="18"/>
  <c r="Q341" i="18" s="1"/>
  <c r="Q343" i="18" s="1"/>
  <c r="Q282" i="18"/>
  <c r="AC438" i="18"/>
  <c r="AC471" i="18" s="1"/>
  <c r="AC473" i="18" s="1"/>
  <c r="AC412" i="18"/>
  <c r="AL243" i="18"/>
  <c r="AL276" i="18" s="1"/>
  <c r="AL278" i="18" s="1"/>
  <c r="AL217" i="18"/>
  <c r="Q178" i="18"/>
  <c r="Q211" i="18" s="1"/>
  <c r="Q213" i="18" s="1"/>
  <c r="Q152" i="18"/>
  <c r="AI347" i="18"/>
  <c r="AI373" i="18"/>
  <c r="AI406" i="18" s="1"/>
  <c r="AI408" i="18" s="1"/>
  <c r="AF373" i="18"/>
  <c r="AF406" i="18" s="1"/>
  <c r="AF408" i="18" s="1"/>
  <c r="AF347" i="18"/>
  <c r="AL47" i="18"/>
  <c r="AL80" i="18" s="1"/>
  <c r="AL82" i="18" s="1"/>
  <c r="AL18" i="18"/>
  <c r="AF243" i="18"/>
  <c r="AF276" i="18" s="1"/>
  <c r="AF278" i="18" s="1"/>
  <c r="AF217" i="18"/>
  <c r="T503" i="18"/>
  <c r="T536" i="18" s="1"/>
  <c r="T538" i="18" s="1"/>
  <c r="T477" i="18"/>
  <c r="N178" i="18"/>
  <c r="N211" i="18" s="1"/>
  <c r="N213" i="18" s="1"/>
  <c r="N152" i="18"/>
  <c r="AL152" i="18"/>
  <c r="AL178" i="18"/>
  <c r="AL211" i="18" s="1"/>
  <c r="AL213" i="18" s="1"/>
  <c r="AI243" i="18"/>
  <c r="AI276" i="18" s="1"/>
  <c r="AI278" i="18" s="1"/>
  <c r="AI217" i="18"/>
  <c r="W282" i="18"/>
  <c r="W308" i="18"/>
  <c r="W341" i="18" s="1"/>
  <c r="W343" i="18" s="1"/>
  <c r="K412" i="18"/>
  <c r="K438" i="18"/>
  <c r="K471" i="18" s="1"/>
  <c r="K473" i="18" s="1"/>
  <c r="AI438" i="18"/>
  <c r="AI471" i="18" s="1"/>
  <c r="AI473" i="18" s="1"/>
  <c r="AI412" i="18"/>
  <c r="Q373" i="18"/>
  <c r="Q406" i="18" s="1"/>
  <c r="Q408" i="18" s="1"/>
  <c r="Q347" i="18"/>
  <c r="H282" i="18"/>
  <c r="H308" i="18"/>
  <c r="H341" i="18" s="1"/>
  <c r="H343" i="18" s="1"/>
  <c r="W152" i="18"/>
  <c r="W178" i="18"/>
  <c r="W211" i="18" s="1"/>
  <c r="W213" i="18" s="1"/>
  <c r="K477" i="18"/>
  <c r="K503" i="18"/>
  <c r="K536" i="18" s="1"/>
  <c r="K538" i="18" s="1"/>
  <c r="AC373" i="18"/>
  <c r="AC406" i="18" s="1"/>
  <c r="AC408" i="18" s="1"/>
  <c r="AC347" i="18"/>
  <c r="E217" i="18"/>
  <c r="A237" i="18"/>
  <c r="E243" i="18"/>
  <c r="Z347" i="18"/>
  <c r="Z373" i="18"/>
  <c r="Z406" i="18" s="1"/>
  <c r="Z408" i="18" s="1"/>
  <c r="Q47" i="18"/>
  <c r="Q80" i="18" s="1"/>
  <c r="Q82" i="18" s="1"/>
  <c r="Q18" i="18"/>
  <c r="AC47" i="18"/>
  <c r="AC80" i="18" s="1"/>
  <c r="AC82" i="18" s="1"/>
  <c r="AC18" i="18"/>
  <c r="H47" i="18"/>
  <c r="H80" i="18" s="1"/>
  <c r="H82" i="18" s="1"/>
  <c r="H18" i="18"/>
  <c r="H178" i="18"/>
  <c r="H211" i="18" s="1"/>
  <c r="H213" i="18" s="1"/>
  <c r="H152" i="18"/>
  <c r="E373" i="18"/>
  <c r="A367" i="18"/>
  <c r="E347" i="18"/>
  <c r="T152" i="18"/>
  <c r="T178" i="18"/>
  <c r="T211" i="18" s="1"/>
  <c r="T213" i="18" s="1"/>
  <c r="H477" i="18"/>
  <c r="H503" i="18"/>
  <c r="H536" i="18" s="1"/>
  <c r="H538" i="18" s="1"/>
  <c r="Q243" i="18"/>
  <c r="Q276" i="18" s="1"/>
  <c r="Q278" i="18" s="1"/>
  <c r="Q217" i="18"/>
  <c r="Q412" i="18"/>
  <c r="Q438" i="18"/>
  <c r="Q471" i="18" s="1"/>
  <c r="Q473" i="18" s="1"/>
  <c r="E47" i="18"/>
  <c r="E18" i="18"/>
  <c r="A38" i="18"/>
  <c r="N308" i="18"/>
  <c r="N341" i="18" s="1"/>
  <c r="N343" i="18" s="1"/>
  <c r="N282" i="18"/>
  <c r="E178" i="18"/>
  <c r="A172" i="18"/>
  <c r="E152" i="18"/>
  <c r="AC152" i="18"/>
  <c r="AC178" i="18"/>
  <c r="AC211" i="18" s="1"/>
  <c r="AC213" i="18" s="1"/>
  <c r="N347" i="18"/>
  <c r="N373" i="18"/>
  <c r="N406" i="18" s="1"/>
  <c r="N408" i="18" s="1"/>
  <c r="W347" i="18"/>
  <c r="W373" i="18"/>
  <c r="W406" i="18" s="1"/>
  <c r="W408" i="18" s="1"/>
  <c r="N217" i="18"/>
  <c r="N243" i="18"/>
  <c r="N276" i="18" s="1"/>
  <c r="N278" i="18" s="1"/>
  <c r="T347" i="18"/>
  <c r="T373" i="18"/>
  <c r="T406" i="18" s="1"/>
  <c r="T408" i="18" s="1"/>
  <c r="N47" i="18"/>
  <c r="N80" i="18" s="1"/>
  <c r="N82" i="18" s="1"/>
  <c r="N18" i="18"/>
  <c r="K47" i="18"/>
  <c r="K80" i="18" s="1"/>
  <c r="K82" i="18" s="1"/>
  <c r="K18" i="18"/>
  <c r="T47" i="18"/>
  <c r="T80" i="18" s="1"/>
  <c r="T82" i="18" s="1"/>
  <c r="T18" i="18"/>
  <c r="N438" i="18"/>
  <c r="N471" i="18" s="1"/>
  <c r="N473" i="18" s="1"/>
  <c r="N412" i="18"/>
  <c r="AL477" i="18"/>
  <c r="AL503" i="18"/>
  <c r="AL536" i="18" s="1"/>
  <c r="AL538" i="18" s="1"/>
  <c r="Q503" i="18"/>
  <c r="Q536" i="18" s="1"/>
  <c r="Q538" i="18" s="1"/>
  <c r="Q477" i="18"/>
  <c r="AC243" i="18"/>
  <c r="AC276" i="18" s="1"/>
  <c r="AC278" i="18" s="1"/>
  <c r="AC217" i="18"/>
  <c r="A432" i="18"/>
  <c r="E412" i="18"/>
  <c r="E438" i="18"/>
  <c r="AI503" i="18"/>
  <c r="AI536" i="18" s="1"/>
  <c r="AI538" i="18" s="1"/>
  <c r="AI477" i="18"/>
  <c r="H438" i="18"/>
  <c r="H471" i="18" s="1"/>
  <c r="H473" i="18" s="1"/>
  <c r="H412" i="18"/>
  <c r="A497" i="18"/>
  <c r="E503" i="18"/>
  <c r="E477" i="18"/>
  <c r="K217" i="18"/>
  <c r="K243" i="18"/>
  <c r="K276" i="18" s="1"/>
  <c r="K278" i="18" s="1"/>
  <c r="AI47" i="18"/>
  <c r="AI80" i="18" s="1"/>
  <c r="AI82" i="18" s="1"/>
  <c r="AI18" i="18"/>
  <c r="T412" i="18"/>
  <c r="T438" i="18"/>
  <c r="T471" i="18" s="1"/>
  <c r="T473" i="18" s="1"/>
  <c r="T308" i="18"/>
  <c r="T341" i="18" s="1"/>
  <c r="T343" i="18" s="1"/>
  <c r="T282" i="18"/>
  <c r="Z412" i="18"/>
  <c r="Z438" i="18"/>
  <c r="Z471" i="18" s="1"/>
  <c r="Z473" i="18" s="1"/>
  <c r="Z503" i="18"/>
  <c r="Z536" i="18" s="1"/>
  <c r="Z538" i="18" s="1"/>
  <c r="Z477" i="18"/>
  <c r="E282" i="18"/>
  <c r="E308" i="18"/>
  <c r="A302" i="18"/>
  <c r="AC308" i="18"/>
  <c r="AC341" i="18" s="1"/>
  <c r="AC343" i="18" s="1"/>
  <c r="AC282" i="18"/>
  <c r="W503" i="18"/>
  <c r="W536" i="18" s="1"/>
  <c r="W538" i="18" s="1"/>
  <c r="W477" i="18"/>
  <c r="AL282" i="18"/>
  <c r="AL308" i="18"/>
  <c r="AL341" i="18" s="1"/>
  <c r="AL343" i="18" s="1"/>
  <c r="AF438" i="18"/>
  <c r="AF471" i="18" s="1"/>
  <c r="AF473" i="18" s="1"/>
  <c r="AF412" i="18"/>
  <c r="AF503" i="18"/>
  <c r="AF536" i="18" s="1"/>
  <c r="AF538" i="18" s="1"/>
  <c r="AF477" i="18"/>
  <c r="Z178" i="18"/>
  <c r="Z211" i="18" s="1"/>
  <c r="Z213" i="18" s="1"/>
  <c r="Z152" i="18"/>
  <c r="N477" i="18"/>
  <c r="N503" i="18"/>
  <c r="N536" i="18" s="1"/>
  <c r="N538" i="18" s="1"/>
  <c r="Z243" i="18"/>
  <c r="Z276" i="18" s="1"/>
  <c r="Z278" i="18" s="1"/>
  <c r="Z217" i="18"/>
  <c r="W217" i="18"/>
  <c r="W243" i="18"/>
  <c r="W276" i="18" s="1"/>
  <c r="W278" i="18" s="1"/>
  <c r="K308" i="18"/>
  <c r="K341" i="18" s="1"/>
  <c r="K343" i="18" s="1"/>
  <c r="K282" i="18"/>
  <c r="AI308" i="18"/>
  <c r="AI341" i="18" s="1"/>
  <c r="AI343" i="18" s="1"/>
  <c r="AI282" i="18"/>
  <c r="W438" i="18"/>
  <c r="W471" i="18" s="1"/>
  <c r="W473" i="18" s="1"/>
  <c r="W412" i="18"/>
  <c r="AC477" i="18"/>
  <c r="AC503" i="18"/>
  <c r="AC536" i="18" s="1"/>
  <c r="AC538" i="18" s="1"/>
  <c r="T217" i="18"/>
  <c r="T243" i="18"/>
  <c r="T276" i="18" s="1"/>
  <c r="T278" i="18" s="1"/>
  <c r="AF308" i="18"/>
  <c r="AF341" i="18" s="1"/>
  <c r="AF343" i="18" s="1"/>
  <c r="AF282" i="18"/>
  <c r="A106" i="18"/>
  <c r="AO86" i="18" s="1"/>
  <c r="E6" i="20" s="1"/>
  <c r="E8" i="20" s="1"/>
  <c r="E36" i="20" s="1"/>
  <c r="E112" i="18"/>
  <c r="K152" i="18"/>
  <c r="K178" i="18"/>
  <c r="K211" i="18" s="1"/>
  <c r="K213" i="18" s="1"/>
  <c r="AI152" i="18"/>
  <c r="AI178" i="18"/>
  <c r="AI211" i="18" s="1"/>
  <c r="AI213" i="18" s="1"/>
  <c r="H217" i="18"/>
  <c r="H243" i="18"/>
  <c r="H276" i="18" s="1"/>
  <c r="H278" i="18" s="1"/>
  <c r="H347" i="18"/>
  <c r="H373" i="18"/>
  <c r="H406" i="18" s="1"/>
  <c r="H408" i="18" s="1"/>
  <c r="AL373" i="18"/>
  <c r="AL406" i="18" s="1"/>
  <c r="AL408" i="18" s="1"/>
  <c r="AL347" i="18"/>
  <c r="K347" i="18"/>
  <c r="K373" i="18"/>
  <c r="K406" i="18" s="1"/>
  <c r="K408" i="18" s="1"/>
  <c r="Z47" i="18"/>
  <c r="Z80" i="18" s="1"/>
  <c r="Z82" i="18" s="1"/>
  <c r="Z18" i="18"/>
  <c r="W47" i="18"/>
  <c r="W80" i="18" s="1"/>
  <c r="W82" i="18" s="1"/>
  <c r="W18" i="18"/>
  <c r="AF47" i="18"/>
  <c r="AF80" i="18" s="1"/>
  <c r="AF82" i="18" s="1"/>
  <c r="AF18" i="18"/>
  <c r="J23" i="5"/>
  <c r="O10" i="5"/>
  <c r="P5" i="5"/>
  <c r="O5" i="5"/>
  <c r="I10" i="5"/>
  <c r="J5" i="5"/>
  <c r="I5" i="5"/>
  <c r="L5" i="5"/>
  <c r="K10" i="5"/>
  <c r="K5" i="5"/>
  <c r="F52" i="5"/>
  <c r="J52" i="5"/>
  <c r="I46" i="5"/>
  <c r="E46" i="5"/>
  <c r="I43" i="5"/>
  <c r="I44" i="5"/>
  <c r="E44" i="5"/>
  <c r="E43" i="5"/>
  <c r="D16" i="5"/>
  <c r="D39" i="5" s="1"/>
  <c r="J47" i="5"/>
  <c r="J46" i="5" s="1"/>
  <c r="N9" i="5" s="1"/>
  <c r="J9" i="5" s="1"/>
  <c r="J44" i="5"/>
  <c r="J43" i="5"/>
  <c r="J35" i="5"/>
  <c r="J34" i="5"/>
  <c r="J31" i="5"/>
  <c r="J30" i="5"/>
  <c r="J29" i="5"/>
  <c r="J28" i="5"/>
  <c r="J27" i="5"/>
  <c r="J26" i="5"/>
  <c r="J25" i="5"/>
  <c r="J24" i="5"/>
  <c r="D10" i="5"/>
  <c r="AO217" i="18" l="1"/>
  <c r="G6" i="20" s="1"/>
  <c r="G8" i="20" s="1"/>
  <c r="G36" i="20" s="1"/>
  <c r="A219" i="18"/>
  <c r="AO282" i="18"/>
  <c r="H6" i="20" s="1"/>
  <c r="H8" i="20" s="1"/>
  <c r="H36" i="20" s="1"/>
  <c r="A284" i="18"/>
  <c r="A503" i="18"/>
  <c r="E536" i="18"/>
  <c r="AO412" i="18"/>
  <c r="J6" i="20" s="1"/>
  <c r="J8" i="20" s="1"/>
  <c r="J36" i="20" s="1"/>
  <c r="A414" i="18"/>
  <c r="A47" i="18"/>
  <c r="E80" i="18"/>
  <c r="E211" i="18"/>
  <c r="A178" i="18"/>
  <c r="E341" i="18"/>
  <c r="A308" i="18"/>
  <c r="AO477" i="18"/>
  <c r="K6" i="20" s="1"/>
  <c r="K8" i="20" s="1"/>
  <c r="K36" i="20" s="1"/>
  <c r="A479" i="18"/>
  <c r="E406" i="18"/>
  <c r="A373" i="18"/>
  <c r="E471" i="18"/>
  <c r="A438" i="18"/>
  <c r="AO152" i="18"/>
  <c r="F6" i="20" s="1"/>
  <c r="F8" i="20" s="1"/>
  <c r="F36" i="20" s="1"/>
  <c r="A154" i="18"/>
  <c r="AO18" i="18"/>
  <c r="D6" i="20" s="1"/>
  <c r="A20" i="18"/>
  <c r="AO347" i="18"/>
  <c r="I6" i="20" s="1"/>
  <c r="I8" i="20" s="1"/>
  <c r="I36" i="20" s="1"/>
  <c r="A349" i="18"/>
  <c r="E276" i="18"/>
  <c r="A243" i="18"/>
  <c r="I42" i="5"/>
  <c r="E42" i="5"/>
  <c r="M13" i="5" s="1"/>
  <c r="I13" i="5" s="1"/>
  <c r="J42" i="5"/>
  <c r="N8" i="5" s="1"/>
  <c r="P8" i="5" s="1"/>
  <c r="N13" i="5"/>
  <c r="J13" i="5" s="1"/>
  <c r="J33" i="5"/>
  <c r="J22" i="5" s="1"/>
  <c r="P9" i="5"/>
  <c r="L9" i="5"/>
  <c r="N12" i="5"/>
  <c r="D38" i="5"/>
  <c r="D17" i="5"/>
  <c r="F44" i="5"/>
  <c r="F43" i="5"/>
  <c r="F47" i="5"/>
  <c r="F46" i="5" s="1"/>
  <c r="F39" i="5"/>
  <c r="F38" i="5"/>
  <c r="F35" i="5"/>
  <c r="F34" i="5"/>
  <c r="F31" i="5"/>
  <c r="F30" i="5"/>
  <c r="F29" i="5"/>
  <c r="F28" i="5"/>
  <c r="F27" i="5"/>
  <c r="F26" i="5"/>
  <c r="F25" i="5"/>
  <c r="F24" i="5"/>
  <c r="F23" i="5"/>
  <c r="E278" i="18" l="1"/>
  <c r="A278" i="18" s="1"/>
  <c r="A276" i="18"/>
  <c r="L6" i="20"/>
  <c r="L8" i="20" s="1"/>
  <c r="L36" i="20" s="1"/>
  <c r="D8" i="20"/>
  <c r="D36" i="20" s="1"/>
  <c r="E473" i="18"/>
  <c r="A473" i="18" s="1"/>
  <c r="A471" i="18"/>
  <c r="A211" i="18"/>
  <c r="E213" i="18"/>
  <c r="A213" i="18" s="1"/>
  <c r="E82" i="18"/>
  <c r="A82" i="18" s="1"/>
  <c r="A80" i="18"/>
  <c r="E538" i="18"/>
  <c r="A538" i="18" s="1"/>
  <c r="A536" i="18"/>
  <c r="E408" i="18"/>
  <c r="A408" i="18" s="1"/>
  <c r="A406" i="18"/>
  <c r="A341" i="18"/>
  <c r="E343" i="18"/>
  <c r="A343" i="18" s="1"/>
  <c r="L8" i="5"/>
  <c r="P13" i="5"/>
  <c r="L13" i="5"/>
  <c r="O13" i="5"/>
  <c r="K13" i="5"/>
  <c r="J8" i="5"/>
  <c r="P12" i="5"/>
  <c r="N14" i="5"/>
  <c r="J12" i="5"/>
  <c r="L12" i="5"/>
  <c r="M9" i="5"/>
  <c r="H39" i="5"/>
  <c r="J39" i="5" s="1"/>
  <c r="H38" i="5"/>
  <c r="J38" i="5" s="1"/>
  <c r="J37" i="5" s="1"/>
  <c r="J21" i="5" s="1"/>
  <c r="F37" i="5"/>
  <c r="M10" i="5" s="1"/>
  <c r="F33" i="5"/>
  <c r="F22" i="5" s="1"/>
  <c r="F42" i="5"/>
  <c r="M8" i="5" s="1"/>
  <c r="D37" i="20" l="1"/>
  <c r="E37" i="20" s="1"/>
  <c r="F37" i="20" s="1"/>
  <c r="G37" i="20" s="1"/>
  <c r="H37" i="20" s="1"/>
  <c r="I37" i="20" s="1"/>
  <c r="J37" i="20" s="1"/>
  <c r="K37" i="20" s="1"/>
  <c r="O9" i="5"/>
  <c r="I9" i="5"/>
  <c r="K9" i="5"/>
  <c r="O8" i="5"/>
  <c r="I8" i="5"/>
  <c r="K8" i="5"/>
  <c r="M12" i="5"/>
  <c r="P14" i="5"/>
  <c r="J14" i="5"/>
  <c r="L14" i="5"/>
  <c r="N10" i="5"/>
  <c r="N7" i="5"/>
  <c r="N5" i="5"/>
  <c r="F21" i="5"/>
  <c r="M5" i="5"/>
  <c r="M7" i="5" s="1"/>
  <c r="A17" i="9"/>
  <c r="A18" i="9" s="1"/>
  <c r="A19" i="9" s="1"/>
  <c r="A20" i="9" s="1"/>
  <c r="A21" i="9" s="1"/>
  <c r="A22" i="9" s="1"/>
  <c r="A23" i="9" s="1"/>
  <c r="A24" i="9" s="1"/>
  <c r="A16" i="9"/>
  <c r="A15" i="9"/>
  <c r="A7" i="9"/>
  <c r="A8" i="9" s="1"/>
  <c r="A9" i="9" s="1"/>
  <c r="A10" i="9" s="1"/>
  <c r="A11" i="9" s="1"/>
  <c r="A12" i="9" s="1"/>
  <c r="A13" i="9" s="1"/>
  <c r="A14" i="9" s="1"/>
  <c r="A4" i="9"/>
  <c r="A5" i="9" s="1"/>
  <c r="A6" i="9" s="1"/>
  <c r="O12" i="5" l="1"/>
  <c r="I12" i="5"/>
  <c r="K12" i="5"/>
  <c r="M14" i="5"/>
  <c r="O7" i="5"/>
  <c r="I7" i="5"/>
  <c r="K7" i="5"/>
  <c r="J7" i="5"/>
  <c r="L7" i="5"/>
  <c r="P7" i="5"/>
  <c r="P10" i="5"/>
  <c r="J10" i="5"/>
  <c r="L10" i="5"/>
  <c r="M6" i="5"/>
  <c r="K6" i="5" s="1"/>
  <c r="E56" i="8"/>
  <c r="G56" i="8" s="1"/>
  <c r="I56" i="8" s="1"/>
  <c r="G55" i="8"/>
  <c r="I55" i="8" s="1"/>
  <c r="G54" i="8"/>
  <c r="I54" i="8" s="1"/>
  <c r="G53" i="8"/>
  <c r="I53" i="8" s="1"/>
  <c r="C53" i="8"/>
  <c r="C52" i="8"/>
  <c r="G52" i="8" s="1"/>
  <c r="I52" i="8" s="1"/>
  <c r="E51" i="8"/>
  <c r="G51" i="8" s="1"/>
  <c r="I51" i="8" s="1"/>
  <c r="E50" i="8"/>
  <c r="G50" i="8" s="1"/>
  <c r="I50" i="8" s="1"/>
  <c r="G49" i="8"/>
  <c r="I49" i="8" s="1"/>
  <c r="E49" i="8"/>
  <c r="G48" i="8"/>
  <c r="I48" i="8" s="1"/>
  <c r="E47" i="8"/>
  <c r="G47" i="8" s="1"/>
  <c r="G31" i="8"/>
  <c r="I31" i="8" s="1"/>
  <c r="E32" i="8"/>
  <c r="M32" i="8" s="1"/>
  <c r="O32" i="8" s="1"/>
  <c r="E31" i="8"/>
  <c r="E30" i="8"/>
  <c r="G30" i="8" s="1"/>
  <c r="I30" i="8" s="1"/>
  <c r="G10" i="8"/>
  <c r="I10" i="8" s="1"/>
  <c r="G29" i="8"/>
  <c r="I29" i="8" s="1"/>
  <c r="G17" i="8"/>
  <c r="I17" i="8" s="1"/>
  <c r="G33" i="8"/>
  <c r="C33" i="8"/>
  <c r="G32" i="8"/>
  <c r="I32" i="8" s="1"/>
  <c r="G36" i="8"/>
  <c r="I36" i="8" s="1"/>
  <c r="E28" i="8"/>
  <c r="E9" i="8"/>
  <c r="G9" i="8" s="1"/>
  <c r="I9" i="8" s="1"/>
  <c r="G37" i="8"/>
  <c r="I37" i="8" s="1"/>
  <c r="E37" i="8"/>
  <c r="G35" i="8"/>
  <c r="I35" i="8" s="1"/>
  <c r="C34" i="8"/>
  <c r="G34" i="8" s="1"/>
  <c r="I34" i="8" s="1"/>
  <c r="G28" i="8"/>
  <c r="W21" i="8"/>
  <c r="C15" i="8"/>
  <c r="G15" i="8" s="1"/>
  <c r="I15" i="8" s="1"/>
  <c r="W7" i="8"/>
  <c r="W9" i="8" s="1"/>
  <c r="X9" i="8" s="1"/>
  <c r="W16" i="8" s="1"/>
  <c r="W15" i="8"/>
  <c r="W8" i="8"/>
  <c r="I11" i="8"/>
  <c r="G11" i="8"/>
  <c r="W4" i="8"/>
  <c r="W5" i="8"/>
  <c r="C14" i="8"/>
  <c r="G14" i="8"/>
  <c r="I14" i="8" s="1"/>
  <c r="Q5" i="8"/>
  <c r="E18" i="8"/>
  <c r="G18" i="8" s="1"/>
  <c r="I18" i="8" s="1"/>
  <c r="G16" i="8"/>
  <c r="I16" i="8" s="1"/>
  <c r="G13" i="8"/>
  <c r="I13" i="8" s="1"/>
  <c r="G12" i="8"/>
  <c r="I12" i="8" s="1"/>
  <c r="O6" i="5" l="1"/>
  <c r="I6" i="5"/>
  <c r="K14" i="5"/>
  <c r="O14" i="5"/>
  <c r="I14" i="5"/>
  <c r="N6" i="5"/>
  <c r="M11" i="5"/>
  <c r="I47" i="8"/>
  <c r="I43" i="8" s="1"/>
  <c r="G43" i="8"/>
  <c r="N32" i="8"/>
  <c r="I33" i="8"/>
  <c r="I28" i="8"/>
  <c r="G24" i="8"/>
  <c r="G5" i="8"/>
  <c r="I5" i="8"/>
  <c r="F35" i="6"/>
  <c r="G22" i="6"/>
  <c r="H21" i="6"/>
  <c r="G21" i="6"/>
  <c r="E21" i="6"/>
  <c r="H19" i="6"/>
  <c r="G19" i="6"/>
  <c r="E19" i="6"/>
  <c r="G18" i="6"/>
  <c r="H16" i="6"/>
  <c r="H22" i="6" s="1"/>
  <c r="G16" i="6"/>
  <c r="C16" i="6"/>
  <c r="H15" i="6"/>
  <c r="G15" i="6"/>
  <c r="H14" i="6"/>
  <c r="G14" i="6"/>
  <c r="E14" i="6"/>
  <c r="H13" i="6"/>
  <c r="G13" i="6"/>
  <c r="H12" i="6"/>
  <c r="G12" i="6"/>
  <c r="G8" i="6"/>
  <c r="G5" i="6"/>
  <c r="C5" i="6"/>
  <c r="M17" i="5" l="1"/>
  <c r="O11" i="5"/>
  <c r="O16" i="5" s="1"/>
  <c r="I11" i="5"/>
  <c r="I16" i="5" s="1"/>
  <c r="K11" i="5"/>
  <c r="M15" i="5"/>
  <c r="M16" i="5"/>
  <c r="N11" i="5"/>
  <c r="J11" i="5" s="1"/>
  <c r="P6" i="5"/>
  <c r="J6" i="5"/>
  <c r="L6" i="5"/>
  <c r="I24" i="8"/>
  <c r="G6" i="6"/>
  <c r="G7" i="6" s="1"/>
  <c r="G9" i="6" s="1"/>
  <c r="I7"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I9" i="2"/>
  <c r="J8" i="2"/>
  <c r="N17" i="2"/>
  <c r="N18" i="2"/>
  <c r="N19" i="2"/>
  <c r="N20" i="2"/>
  <c r="N21" i="2"/>
  <c r="N22" i="2"/>
  <c r="N23" i="2"/>
  <c r="N24" i="2"/>
  <c r="N25" i="2"/>
  <c r="N26" i="2"/>
  <c r="N27" i="2"/>
  <c r="N28" i="2"/>
  <c r="N29" i="2"/>
  <c r="N30" i="2"/>
  <c r="X30" i="2"/>
  <c r="N31" i="2"/>
  <c r="N32" i="2"/>
  <c r="N33" i="2"/>
  <c r="N34" i="2"/>
  <c r="N35" i="2"/>
  <c r="N36" i="2"/>
  <c r="N37" i="2"/>
  <c r="N38" i="2"/>
  <c r="N39" i="2"/>
  <c r="N40" i="2"/>
  <c r="N41" i="2"/>
  <c r="N42" i="2"/>
  <c r="N43" i="2"/>
  <c r="C52" i="4"/>
  <c r="O34" i="4"/>
  <c r="N51" i="2"/>
  <c r="N50" i="2"/>
  <c r="N49" i="2"/>
  <c r="N48" i="2"/>
  <c r="N47" i="2"/>
  <c r="N46" i="2"/>
  <c r="N45" i="2"/>
  <c r="N44" i="2"/>
  <c r="N16" i="2"/>
  <c r="N15" i="2"/>
  <c r="N14" i="2"/>
  <c r="N13" i="2"/>
  <c r="N12" i="2"/>
  <c r="N11" i="2"/>
  <c r="N10" i="2"/>
  <c r="N9" i="2"/>
  <c r="L11" i="5" l="1"/>
  <c r="L17" i="5" s="1"/>
  <c r="N15" i="5"/>
  <c r="J15" i="5"/>
  <c r="J16" i="5"/>
  <c r="J17" i="5"/>
  <c r="P11" i="5"/>
  <c r="K17" i="5"/>
  <c r="K15" i="5"/>
  <c r="L15" i="5"/>
  <c r="I17" i="5"/>
  <c r="I15" i="5"/>
  <c r="K16" i="5"/>
  <c r="O17" i="5"/>
  <c r="O15" i="5"/>
  <c r="N17" i="5"/>
  <c r="N16" i="5"/>
  <c r="R2" i="2"/>
  <c r="T2" i="2"/>
  <c r="Q2" i="2"/>
  <c r="S2" i="2"/>
  <c r="P2" i="2"/>
  <c r="N5" i="2"/>
  <c r="L16" i="5" l="1"/>
  <c r="P15" i="5"/>
  <c r="P17" i="5"/>
  <c r="P16" i="5"/>
  <c r="B10" i="2"/>
  <c r="F35" i="1"/>
  <c r="H21" i="1"/>
  <c r="G21" i="1"/>
  <c r="E21" i="1"/>
  <c r="H19" i="1"/>
  <c r="G19" i="1"/>
  <c r="E19" i="1"/>
  <c r="G18" i="1"/>
  <c r="H16" i="1"/>
  <c r="G16" i="1"/>
  <c r="C16" i="1"/>
  <c r="H15" i="1"/>
  <c r="G15" i="1"/>
  <c r="H14" i="1"/>
  <c r="E14" i="1"/>
  <c r="G14" i="1" s="1"/>
  <c r="H13" i="1"/>
  <c r="G13" i="1"/>
  <c r="H12" i="1"/>
  <c r="H22" i="1" s="1"/>
  <c r="G12" i="1"/>
  <c r="C5" i="1"/>
  <c r="G8" i="1" s="1"/>
  <c r="B11" i="2" l="1"/>
  <c r="I10" i="2"/>
  <c r="G22" i="1"/>
  <c r="G6" i="1" s="1"/>
  <c r="G5" i="1"/>
  <c r="G7" i="1" s="1"/>
  <c r="G9" i="1" s="1"/>
  <c r="B12" i="2" l="1"/>
  <c r="I11" i="2"/>
  <c r="B13" i="2" l="1"/>
  <c r="I12" i="2"/>
  <c r="B14" i="2" l="1"/>
  <c r="I13" i="2"/>
  <c r="B15" i="2" l="1"/>
  <c r="I14" i="2"/>
  <c r="B16" i="2" l="1"/>
  <c r="I15" i="2"/>
  <c r="B17" i="2" l="1"/>
  <c r="I16" i="2"/>
  <c r="B18" i="2" l="1"/>
  <c r="I17" i="2"/>
  <c r="B19" i="2" l="1"/>
  <c r="I18" i="2"/>
  <c r="B20" i="2" l="1"/>
  <c r="I19" i="2"/>
  <c r="B21" i="2" l="1"/>
  <c r="I20" i="2"/>
  <c r="B22" i="2" l="1"/>
  <c r="I21" i="2"/>
  <c r="B23" i="2" l="1"/>
  <c r="I22" i="2"/>
  <c r="B24" i="2" l="1"/>
  <c r="I23" i="2"/>
  <c r="B25" i="2" l="1"/>
  <c r="I24" i="2"/>
  <c r="B26" i="2" l="1"/>
  <c r="I25" i="2"/>
  <c r="B27" i="2" l="1"/>
  <c r="I26" i="2"/>
  <c r="I27" i="2" l="1"/>
  <c r="B28" i="2"/>
  <c r="B29" i="2" l="1"/>
  <c r="I28" i="2"/>
  <c r="B30" i="2" l="1"/>
  <c r="I29" i="2"/>
  <c r="B31" i="2" l="1"/>
  <c r="I30" i="2"/>
  <c r="B32" i="2" l="1"/>
  <c r="I31" i="2"/>
  <c r="B33" i="2" l="1"/>
  <c r="I32" i="2"/>
  <c r="B34" i="2" l="1"/>
  <c r="I33" i="2"/>
  <c r="B35" i="2" l="1"/>
  <c r="I34" i="2"/>
  <c r="B36" i="2" l="1"/>
  <c r="I35" i="2"/>
  <c r="B37" i="2" l="1"/>
  <c r="I36" i="2"/>
  <c r="B38" i="2" l="1"/>
  <c r="I37" i="2"/>
  <c r="B39" i="2" l="1"/>
  <c r="I38" i="2"/>
  <c r="B40" i="2" l="1"/>
  <c r="I39" i="2"/>
  <c r="B41" i="2" l="1"/>
  <c r="I40" i="2"/>
  <c r="B42" i="2" l="1"/>
  <c r="I41" i="2"/>
  <c r="B43" i="2" l="1"/>
  <c r="I42" i="2"/>
  <c r="B44" i="2" l="1"/>
  <c r="I43" i="2"/>
  <c r="B45" i="2" l="1"/>
  <c r="I44" i="2"/>
  <c r="B46" i="2" l="1"/>
  <c r="I45" i="2"/>
  <c r="B47" i="2" l="1"/>
  <c r="I46" i="2"/>
  <c r="B48" i="2" l="1"/>
  <c r="I47" i="2"/>
  <c r="B49" i="2" l="1"/>
  <c r="I48" i="2"/>
  <c r="B50" i="2" l="1"/>
  <c r="I49" i="2"/>
  <c r="B51" i="2" l="1"/>
  <c r="I51" i="2" s="1"/>
  <c r="I50" i="2"/>
  <c r="E40" i="15" l="1"/>
  <c r="E39" i="15" s="1"/>
  <c r="D13" i="15"/>
  <c r="J11" i="15" l="1"/>
  <c r="D17" i="15"/>
  <c r="J8" i="15"/>
  <c r="C47" i="15" l="1"/>
  <c r="E47" i="15" s="1"/>
  <c r="C67" i="15"/>
  <c r="D67" i="15" s="1"/>
  <c r="C68" i="15"/>
  <c r="D68" i="15" s="1"/>
  <c r="C69" i="15"/>
  <c r="D69" i="15" s="1"/>
  <c r="C46" i="15"/>
  <c r="E46" i="15" s="1"/>
  <c r="E45" i="15" s="1"/>
  <c r="C48" i="15"/>
  <c r="E48" i="15" s="1"/>
  <c r="K8" i="15"/>
  <c r="H8" i="15"/>
  <c r="I8" i="15"/>
  <c r="E60" i="15"/>
  <c r="D60" i="15"/>
  <c r="D57" i="15"/>
  <c r="E57" i="15"/>
  <c r="E58" i="15"/>
  <c r="D58" i="15"/>
  <c r="E53" i="15"/>
  <c r="H11" i="15"/>
  <c r="K11" i="15"/>
  <c r="I11" i="15"/>
  <c r="E56" i="15"/>
  <c r="D56" i="15"/>
  <c r="E54" i="15"/>
  <c r="D54" i="15"/>
  <c r="J14" i="15" l="1"/>
  <c r="H14" i="15" s="1"/>
  <c r="E24" i="15"/>
  <c r="J9" i="15" s="1"/>
  <c r="E65" i="15"/>
  <c r="J13" i="15" s="1"/>
  <c r="D65" i="15"/>
  <c r="E52" i="15"/>
  <c r="I14" i="15"/>
  <c r="K14" i="15"/>
  <c r="D52" i="15"/>
  <c r="J17" i="15" s="1"/>
  <c r="K13" i="15" l="1"/>
  <c r="H13" i="15"/>
  <c r="I13" i="15"/>
  <c r="H9" i="15"/>
  <c r="H20" i="15" s="1"/>
  <c r="J16" i="15"/>
  <c r="I16" i="15" s="1"/>
  <c r="J12" i="15"/>
  <c r="I9" i="15"/>
  <c r="K9" i="15"/>
  <c r="I17" i="15"/>
  <c r="K17" i="15"/>
  <c r="H17" i="15"/>
  <c r="K12" i="15"/>
  <c r="K16" i="15" l="1"/>
  <c r="J18" i="15"/>
  <c r="I18" i="15" s="1"/>
  <c r="H16" i="15"/>
  <c r="H12" i="15"/>
  <c r="J10" i="15"/>
  <c r="I12" i="15"/>
  <c r="H18" i="15" l="1"/>
  <c r="K18" i="15"/>
  <c r="H10" i="15"/>
  <c r="I10" i="15"/>
  <c r="K10" i="15"/>
  <c r="J15" i="15"/>
  <c r="J22" i="15" l="1"/>
  <c r="J21" i="15"/>
  <c r="H15" i="15"/>
  <c r="K15" i="15"/>
  <c r="I15" i="15"/>
  <c r="H22" i="15" l="1"/>
  <c r="H21" i="15"/>
  <c r="K22" i="15"/>
  <c r="K21" i="15"/>
  <c r="I22" i="15"/>
  <c r="I21" i="15"/>
  <c r="D53" i="11"/>
  <c r="J17" i="11" s="1"/>
  <c r="E53" i="11"/>
  <c r="J16" i="11" s="1"/>
  <c r="E25" i="11" l="1"/>
  <c r="J9" i="11" s="1"/>
  <c r="H9" i="11" s="1"/>
  <c r="H20" i="11" s="1"/>
  <c r="I17" i="11"/>
  <c r="K17" i="11"/>
  <c r="J13" i="11"/>
  <c r="K13" i="11" s="1"/>
  <c r="K16" i="11"/>
  <c r="H16" i="11"/>
  <c r="J18" i="11"/>
  <c r="I16" i="11"/>
  <c r="H17" i="11"/>
  <c r="I9" i="11" l="1"/>
  <c r="K9" i="11"/>
  <c r="I13" i="11"/>
  <c r="J10" i="11"/>
  <c r="I10" i="11" s="1"/>
  <c r="H13" i="11"/>
  <c r="I18" i="11"/>
  <c r="K18" i="11"/>
  <c r="H18" i="11"/>
  <c r="J15" i="11" l="1"/>
  <c r="J22" i="11" s="1"/>
  <c r="H10" i="11"/>
  <c r="K10" i="11"/>
  <c r="K15" i="11"/>
  <c r="K22" i="11" s="1"/>
  <c r="H15" i="11"/>
  <c r="H22" i="11" s="1"/>
  <c r="K21" i="11" l="1"/>
  <c r="D29" i="17" s="1"/>
  <c r="I15" i="11"/>
  <c r="I22" i="11" s="1"/>
  <c r="J21" i="11"/>
  <c r="I21" i="11"/>
  <c r="H21" i="11"/>
  <c r="AI86" i="18"/>
  <c r="A88" i="18"/>
  <c r="N86" i="18"/>
  <c r="T86" i="18"/>
  <c r="AC86" i="18"/>
  <c r="Z86" i="18"/>
  <c r="H86" i="18"/>
  <c r="AL86" i="18"/>
  <c r="W86" i="18"/>
  <c r="K86" i="18"/>
  <c r="Q86" i="18"/>
  <c r="AF86" i="18"/>
  <c r="E86" i="18"/>
  <c r="A112" i="18" l="1"/>
  <c r="E145" i="18"/>
  <c r="A145" i="18" l="1"/>
  <c r="E147" i="18"/>
  <c r="A147" i="18" s="1"/>
</calcChain>
</file>

<file path=xl/comments1.xml><?xml version="1.0" encoding="utf-8"?>
<comments xmlns="http://schemas.openxmlformats.org/spreadsheetml/2006/main">
  <authors>
    <author>Nils Johnson</author>
  </authors>
  <commentList>
    <comment ref="E23" authorId="0" shapeId="0">
      <text>
        <r>
          <rPr>
            <b/>
            <sz val="9"/>
            <color indexed="81"/>
            <rFont val="Tahoma"/>
            <family val="2"/>
          </rPr>
          <t>- 4' x 4' x 4' = 64 Ft Sq</t>
        </r>
        <r>
          <rPr>
            <sz val="9"/>
            <color indexed="81"/>
            <rFont val="Tahoma"/>
            <family val="2"/>
          </rPr>
          <t xml:space="preserve">
</t>
        </r>
      </text>
    </comment>
    <comment ref="E24" authorId="0" shapeId="0">
      <text>
        <r>
          <rPr>
            <b/>
            <sz val="9"/>
            <color indexed="81"/>
            <rFont val="Tahoma"/>
            <family val="2"/>
          </rPr>
          <t>- 4' x 4' x 4' = 64 Ft Sq</t>
        </r>
        <r>
          <rPr>
            <sz val="9"/>
            <color indexed="81"/>
            <rFont val="Tahoma"/>
            <family val="2"/>
          </rPr>
          <t xml:space="preserve">
</t>
        </r>
      </text>
    </comment>
    <comment ref="E25" authorId="0" shapeId="0">
      <text>
        <r>
          <rPr>
            <b/>
            <sz val="9"/>
            <color indexed="81"/>
            <rFont val="Tahoma"/>
            <family val="2"/>
          </rPr>
          <t>- 4' x 4' x 4' = 64 Ft Sq</t>
        </r>
        <r>
          <rPr>
            <sz val="9"/>
            <color indexed="81"/>
            <rFont val="Tahoma"/>
            <family val="2"/>
          </rPr>
          <t xml:space="preserve">
</t>
        </r>
      </text>
    </comment>
  </commentList>
</comments>
</file>

<file path=xl/comments10.xml><?xml version="1.0" encoding="utf-8"?>
<comments xmlns="http://schemas.openxmlformats.org/spreadsheetml/2006/main">
  <authors>
    <author>Nils Johnson</author>
  </authors>
  <commentList>
    <comment ref="F27" authorId="0" shapeId="0">
      <text>
        <r>
          <rPr>
            <b/>
            <sz val="9"/>
            <color indexed="81"/>
            <rFont val="Tahoma"/>
            <family val="2"/>
          </rPr>
          <t>- These coolers built into building side by side</t>
        </r>
      </text>
    </comment>
    <comment ref="F28" authorId="0" shapeId="0">
      <text>
        <r>
          <rPr>
            <b/>
            <sz val="9"/>
            <color indexed="81"/>
            <rFont val="Tahoma"/>
            <family val="2"/>
          </rPr>
          <t>Nils Johnson:</t>
        </r>
        <r>
          <rPr>
            <sz val="9"/>
            <color indexed="81"/>
            <rFont val="Tahoma"/>
            <family val="2"/>
          </rPr>
          <t xml:space="preserve">
- Builtin Unit figured into building costs</t>
        </r>
      </text>
    </comment>
  </commentList>
</comments>
</file>

<file path=xl/comments2.xml><?xml version="1.0" encoding="utf-8"?>
<comments xmlns="http://schemas.openxmlformats.org/spreadsheetml/2006/main">
  <authors>
    <author>Heather Hendy</author>
    <author>Joseph Clarke</author>
  </authors>
  <commentList>
    <comment ref="C6" authorId="0" shapeId="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D7" authorId="1" shapeId="0">
      <text>
        <r>
          <rPr>
            <sz val="9"/>
            <color indexed="81"/>
            <rFont val="Tahoma"/>
            <family val="2"/>
          </rPr>
          <t xml:space="preserve">This number will be an approximation of the FICA taxes. If the salaries of individuals exceed the wage base limit, this number will overstate the FICA tax and should be adjusted.
</t>
        </r>
      </text>
    </comment>
    <comment ref="D9" authorId="0" shapeId="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2015. Check with the IRS for current information. 
</t>
        </r>
      </text>
    </comment>
    <comment ref="D10" authorId="1" shapeId="0">
      <text>
        <r>
          <rPr>
            <sz val="9"/>
            <color indexed="81"/>
            <rFont val="Tahoma"/>
            <family val="2"/>
          </rPr>
          <t xml:space="preserve">Each state has different SUTA rates and wage base limits. Tailor this cell to reflect your state's information.
</t>
        </r>
      </text>
    </comment>
  </commentList>
</comments>
</file>

<file path=xl/comments3.xml><?xml version="1.0" encoding="utf-8"?>
<comments xmlns="http://schemas.openxmlformats.org/spreadsheetml/2006/main">
  <authors>
    <author>Nils Johnson</author>
  </authors>
  <commentList>
    <comment ref="C14" authorId="0" shapeId="0">
      <text>
        <r>
          <rPr>
            <b/>
            <sz val="9"/>
            <color indexed="81"/>
            <rFont val="Tahoma"/>
            <family val="2"/>
          </rPr>
          <t>Frozen Meals</t>
        </r>
        <r>
          <rPr>
            <sz val="9"/>
            <color indexed="81"/>
            <rFont val="Tahoma"/>
            <family val="2"/>
          </rPr>
          <t xml:space="preserve"> - based on what Rural Resources currently pays for and delivers to cliients:
- $26 for 1 box of 7 frozen meals
- 400 boxes per 8 week period
- 1-4 boxer per person per month</t>
        </r>
      </text>
    </comment>
    <comment ref="C15" authorId="0" shapeId="0">
      <text>
        <r>
          <rPr>
            <b/>
            <sz val="9"/>
            <color indexed="81"/>
            <rFont val="Tahoma"/>
            <family val="2"/>
          </rPr>
          <t>1200 lbs of produce 
Wholesale: $1.5/lb
Processing Cost: 25%
Sanity Check:
- 6 Hrs
- 4 Staff
- $15/Hr (min wage plus benefits)
= 24 staff hrs = $360</t>
        </r>
      </text>
    </comment>
    <comment ref="E15" authorId="0" shapeId="0">
      <text>
        <r>
          <rPr>
            <b/>
            <sz val="9"/>
            <color indexed="81"/>
            <rFont val="Tahoma"/>
            <family val="2"/>
          </rPr>
          <t>2 days per month on average</t>
        </r>
      </text>
    </comment>
    <comment ref="O31" authorId="0" shapeId="0">
      <text>
        <r>
          <rPr>
            <b/>
            <sz val="9"/>
            <color indexed="81"/>
            <rFont val="Tahoma"/>
            <family val="2"/>
          </rPr>
          <t>40 foot shipping containers, 2 deep on one side only (to allow a hand truck to move pallets the whole way</t>
        </r>
      </text>
    </comment>
    <comment ref="C33" authorId="0" shapeId="0">
      <text>
        <r>
          <rPr>
            <b/>
            <sz val="9"/>
            <color indexed="81"/>
            <rFont val="Tahoma"/>
            <family val="2"/>
          </rPr>
          <t>Frozen Meals</t>
        </r>
        <r>
          <rPr>
            <sz val="9"/>
            <color indexed="81"/>
            <rFont val="Tahoma"/>
            <family val="2"/>
          </rPr>
          <t xml:space="preserve"> - based on what Rural Resources currently pays for and delivers to cliients, doubled ( addiitional markets &amp; growth):
- 2 x ...
- $26 for 1 box of 7 frozen meals
- 400 boxes per 8 week period
- 1-4 boxer per person per month
- $3.72 per meal
- 1400 meals per month currently (x 2) = 2800</t>
        </r>
      </text>
    </comment>
    <comment ref="C34" authorId="0" shapeId="0">
      <text>
        <r>
          <rPr>
            <b/>
            <sz val="9"/>
            <color indexed="81"/>
            <rFont val="Tahoma"/>
            <family val="2"/>
          </rPr>
          <t>1200 lbs of produce 
Wholesale: $1.5/lb
Processing Cost: 25%
Sanity Check:
- 6 Hrs
- 4 Staff
- $15/Hr (min wage plus benefits)
= 24 staff hrs = $360</t>
        </r>
      </text>
    </comment>
    <comment ref="E34" authorId="0" shapeId="0">
      <text>
        <r>
          <rPr>
            <b/>
            <sz val="9"/>
            <color indexed="81"/>
            <rFont val="Tahoma"/>
            <family val="2"/>
          </rPr>
          <t>5 days per month on average</t>
        </r>
        <r>
          <rPr>
            <sz val="9"/>
            <color indexed="81"/>
            <rFont val="Tahoma"/>
            <family val="2"/>
          </rPr>
          <t xml:space="preserve">
</t>
        </r>
      </text>
    </comment>
    <comment ref="B36" authorId="0" shapeId="0">
      <text>
        <r>
          <rPr>
            <b/>
            <sz val="9"/>
            <color indexed="81"/>
            <rFont val="Tahoma"/>
            <family val="2"/>
          </rPr>
          <t xml:space="preserve">Contract work: 
</t>
        </r>
        <r>
          <rPr>
            <sz val="9"/>
            <color indexed="81"/>
            <rFont val="Tahoma"/>
            <family val="2"/>
          </rPr>
          <t>Valu Added Product production using funding streams that supply the regular emergency food supply - NW Harvest, Second Harvest, EFAP, TFAP</t>
        </r>
      </text>
    </comment>
    <comment ref="B37" authorId="0" shapeId="0">
      <text>
        <r>
          <rPr>
            <b/>
            <sz val="9"/>
            <color indexed="81"/>
            <rFont val="Tahoma"/>
            <family val="2"/>
          </rPr>
          <t>Grants to pay for emergency food gleaning, opportunistic crop purchase, and processing</t>
        </r>
        <r>
          <rPr>
            <sz val="9"/>
            <color indexed="81"/>
            <rFont val="Tahoma"/>
            <family val="2"/>
          </rPr>
          <t xml:space="preserve">
</t>
        </r>
      </text>
    </comment>
    <comment ref="C52" authorId="0" shapeId="0">
      <text>
        <r>
          <rPr>
            <b/>
            <sz val="9"/>
            <color indexed="81"/>
            <rFont val="Tahoma"/>
            <family val="2"/>
          </rPr>
          <t>Frozen Meals</t>
        </r>
        <r>
          <rPr>
            <sz val="9"/>
            <color indexed="81"/>
            <rFont val="Tahoma"/>
            <family val="2"/>
          </rPr>
          <t xml:space="preserve"> - based on what Rural Resources currently pays for and delivers to cliients, doubled ( addiitional markets &amp; growth):
- 2 x ...
- $26 for 1 box of 7 frozen meals
- 400 boxes per 8 week period
- 1-4 boxer per person per month</t>
        </r>
      </text>
    </comment>
    <comment ref="C53" authorId="0" shapeId="0">
      <text>
        <r>
          <rPr>
            <b/>
            <sz val="9"/>
            <color indexed="81"/>
            <rFont val="Tahoma"/>
            <family val="2"/>
          </rPr>
          <t>1200 lbs of produce 
Wholesale: $1.5/lb
Processing Cost: 25%
Sanity Check:
- 6 Hrs
- 4 Staff
- $15/Hr (min wage plus benefits)
= 24 staff hrs = $360</t>
        </r>
      </text>
    </comment>
    <comment ref="E53" authorId="0" shapeId="0">
      <text>
        <r>
          <rPr>
            <b/>
            <sz val="9"/>
            <color indexed="81"/>
            <rFont val="Tahoma"/>
            <family val="2"/>
          </rPr>
          <t>5 days per month on average</t>
        </r>
        <r>
          <rPr>
            <sz val="9"/>
            <color indexed="81"/>
            <rFont val="Tahoma"/>
            <family val="2"/>
          </rPr>
          <t xml:space="preserve">
</t>
        </r>
      </text>
    </comment>
    <comment ref="B55" authorId="0" shapeId="0">
      <text>
        <r>
          <rPr>
            <b/>
            <sz val="9"/>
            <color indexed="81"/>
            <rFont val="Tahoma"/>
            <family val="2"/>
          </rPr>
          <t xml:space="preserve">Contract work: 
</t>
        </r>
        <r>
          <rPr>
            <sz val="9"/>
            <color indexed="81"/>
            <rFont val="Tahoma"/>
            <family val="2"/>
          </rPr>
          <t>Valu Added Product production using funding streams that supply the regular emergency food supply - NW Harvest, Second Harvest, EFAP, TFAP</t>
        </r>
      </text>
    </comment>
    <comment ref="B56" authorId="0" shapeId="0">
      <text>
        <r>
          <rPr>
            <b/>
            <sz val="9"/>
            <color indexed="81"/>
            <rFont val="Tahoma"/>
            <family val="2"/>
          </rPr>
          <t>Grants to pay for emergency food gleaning, opportunistic crop purchase, and processing</t>
        </r>
        <r>
          <rPr>
            <sz val="9"/>
            <color indexed="81"/>
            <rFont val="Tahoma"/>
            <family val="2"/>
          </rPr>
          <t xml:space="preserve">
</t>
        </r>
      </text>
    </comment>
  </commentList>
</comments>
</file>

<file path=xl/comments4.xml><?xml version="1.0" encoding="utf-8"?>
<comments xmlns="http://schemas.openxmlformats.org/spreadsheetml/2006/main">
  <authors>
    <author>Heather Hendy</author>
    <author>Joseph Clarke</author>
    <author>SCOREUSER</author>
  </authors>
  <commentList>
    <comment ref="F8" authorId="0" shapeId="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shapeId="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5" authorId="1" shapeId="0">
      <text>
        <r>
          <rPr>
            <sz val="9"/>
            <color indexed="81"/>
            <rFont val="Tahoma"/>
            <family val="2"/>
          </rPr>
          <t xml:space="preserve">This number will be an approximation of the FICA taxes. If the salaries of individuals exceed the wage base limit, this number will overstate the FICA tax and should be adjusted.
</t>
        </r>
      </text>
    </comment>
    <comment ref="C17" authorId="0" shapeId="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2015. Check with the IRS for current information. 
</t>
        </r>
      </text>
    </comment>
    <comment ref="C18" authorId="1" shapeId="0">
      <text>
        <r>
          <rPr>
            <sz val="9"/>
            <color indexed="81"/>
            <rFont val="Tahoma"/>
            <family val="2"/>
          </rPr>
          <t xml:space="preserve">Each state has different SUTA rates and wage base limits. Tailor this cell to reflect your state's information.
</t>
        </r>
      </text>
    </comment>
    <comment ref="E19" authorId="2" shapeId="0">
      <text>
        <r>
          <rPr>
            <b/>
            <sz val="11"/>
            <color indexed="81"/>
            <rFont val="Gill Sans MT"/>
            <family val="2"/>
          </rPr>
          <t xml:space="preserve">
For these benefits, the formula assumes part-time employees are included. If this is not the case, change the formula accordingly.</t>
        </r>
      </text>
    </comment>
    <comment ref="E20" authorId="2" shapeId="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2" shapeId="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2" shapeId="0">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5.xml><?xml version="1.0" encoding="utf-8"?>
<comments xmlns="http://schemas.openxmlformats.org/spreadsheetml/2006/main">
  <authors>
    <author>Nils Johnson</author>
  </authors>
  <commentList>
    <comment ref="D16" authorId="0" shapeId="0">
      <text>
        <r>
          <rPr>
            <sz val="9"/>
            <color indexed="81"/>
            <rFont val="Tahoma"/>
            <family val="2"/>
          </rPr>
          <t xml:space="preserve">- 16 half-cobs per bag = 8 full cobs per bag
- 6/10 lbs per cob before shucking
- shucked cob is 0.8 of the weight of unshucked cob- - 
</t>
        </r>
      </text>
    </comment>
    <comment ref="D29" authorId="0" shapeId="0">
      <text>
        <r>
          <rPr>
            <b/>
            <sz val="9"/>
            <color indexed="81"/>
            <rFont val="Tahoma"/>
            <family val="2"/>
          </rPr>
          <t>- $0.65/lb is the current F2FP price for corn on the cob 
- Based on 10 ears in 6 lbs before shucking so 20 half-cobs per 6 lbs
- So: 3 1/3 half-ears per unshucked lb
- Note: at $0.35 per ear, total manufacture cost is the same as URM cost for frozen corn to Inchelium SD</t>
        </r>
      </text>
    </comment>
    <comment ref="C53" authorId="0" shapeId="0">
      <text>
        <r>
          <rPr>
            <b/>
            <sz val="9"/>
            <color indexed="81"/>
            <rFont val="Tahoma"/>
            <family val="2"/>
          </rPr>
          <t>- 20 seconds per cob</t>
        </r>
        <r>
          <rPr>
            <sz val="9"/>
            <color indexed="81"/>
            <rFont val="Tahoma"/>
            <family val="2"/>
          </rPr>
          <t xml:space="preserve">
</t>
        </r>
        <r>
          <rPr>
            <b/>
            <sz val="9"/>
            <color indexed="81"/>
            <rFont val="Tahoma"/>
            <family val="2"/>
          </rPr>
          <t>- 180 cobs per hour
- 6/10 lb per cob
= 180/(6/10) = 300 Lbs per hour</t>
        </r>
        <r>
          <rPr>
            <sz val="9"/>
            <color indexed="81"/>
            <rFont val="Tahoma"/>
            <family val="2"/>
          </rPr>
          <t xml:space="preserve">
- Double per conversation with Jan Tusick</t>
        </r>
      </text>
    </comment>
    <comment ref="C54" authorId="0" shapeId="0">
      <text>
        <r>
          <rPr>
            <sz val="9"/>
            <color indexed="81"/>
            <rFont val="Tahoma"/>
            <family val="2"/>
          </rPr>
          <t>- 8 seconds per cob
- 450 cobs per hour
- 10/6 x 450 = 750 lbs per hour
- Double per conversation with Jan Tusick</t>
        </r>
      </text>
    </comment>
    <comment ref="C55" authorId="0" shapeId="0">
      <text>
        <r>
          <rPr>
            <sz val="9"/>
            <color indexed="81"/>
            <rFont val="Tahoma"/>
            <family val="2"/>
          </rPr>
          <t>- Estimate: 30 minutes per batch
- Double per conversation with Jan Tusick</t>
        </r>
      </text>
    </comment>
    <comment ref="C56" authorId="0" shapeId="0">
      <text>
        <r>
          <rPr>
            <sz val="9"/>
            <color indexed="81"/>
            <rFont val="Tahoma"/>
            <family val="2"/>
          </rPr>
          <t xml:space="preserve">- Estimate
- Double per conversation with Jan Tusick
</t>
        </r>
      </text>
    </comment>
    <comment ref="C57" authorId="0" shapeId="0">
      <text>
        <r>
          <rPr>
            <sz val="9"/>
            <color indexed="81"/>
            <rFont val="Tahoma"/>
            <family val="2"/>
          </rPr>
          <t>- 16 half-cobs per bag
- came from 8 cobs of unshucked corn
- those cobs weighed 8 x 6/10 lbs = 4.8 lbs
- Estimate 20 seconds to bag and seal each bag
- 20 sec per 4.8 lbs
= 4.8 x 3600 / 20 = 864 lbs/hr 
- Double per conversation with Jan Tusick</t>
        </r>
      </text>
    </comment>
    <comment ref="C58" authorId="0" shapeId="0">
      <text>
        <r>
          <rPr>
            <sz val="9"/>
            <color indexed="81"/>
            <rFont val="Tahoma"/>
            <family val="2"/>
          </rPr>
          <t>- 16 half-cobs per bag
- came from 8 cobs of unshucked corn
- those cobs weighed 8 x 6/10 lbs = 4.8 lbs
- Estimate 20 seconds to bag and seal each bag
- 20 sec per 4.8 lbs
= 4.8 x 3600 / 20 = 864 lbs/hr 
- Double per conversation with Jan Tusick</t>
        </r>
      </text>
    </comment>
    <comment ref="C63" authorId="0" shapeId="0">
      <text>
        <r>
          <rPr>
            <b/>
            <sz val="9"/>
            <color indexed="81"/>
            <rFont val="Tahoma"/>
            <family val="2"/>
          </rPr>
          <t xml:space="preserve">- Estimate - 5 seconds per label
- Double per conversation with Jan Tusick
</t>
        </r>
        <r>
          <rPr>
            <sz val="9"/>
            <color indexed="81"/>
            <rFont val="Tahoma"/>
            <family val="2"/>
          </rPr>
          <t xml:space="preserve">
</t>
        </r>
      </text>
    </comment>
  </commentList>
</comments>
</file>

<file path=xl/comments6.xml><?xml version="1.0" encoding="utf-8"?>
<comments xmlns="http://schemas.openxmlformats.org/spreadsheetml/2006/main">
  <authors>
    <author>Nils Johnson</author>
  </authors>
  <commentList>
    <comment ref="D29" authorId="0" shapeId="0">
      <text>
        <r>
          <rPr>
            <b/>
            <sz val="9"/>
            <color indexed="81"/>
            <rFont val="Tahoma"/>
            <family val="2"/>
          </rPr>
          <t>- $2.45/lb is the current F2FP price for broccoli but this price could be much lower 
- Going with: $1.225
- Comment: Sysco sells fresh broccoli florettes (with a lot of stems) at about $5.70/3# bag (plus delivery)</t>
        </r>
      </text>
    </comment>
    <comment ref="C53" authorId="0" shapeId="0">
      <text>
        <r>
          <rPr>
            <b/>
            <sz val="9"/>
            <color indexed="81"/>
            <rFont val="Tahoma"/>
            <family val="2"/>
          </rPr>
          <t>- 4 lbs per minute</t>
        </r>
        <r>
          <rPr>
            <sz val="9"/>
            <color indexed="81"/>
            <rFont val="Tahoma"/>
            <family val="2"/>
          </rPr>
          <t xml:space="preserve">
</t>
        </r>
        <r>
          <rPr>
            <b/>
            <sz val="9"/>
            <color indexed="81"/>
            <rFont val="Tahoma"/>
            <family val="2"/>
          </rPr>
          <t>- 100 Lbs</t>
        </r>
        <r>
          <rPr>
            <sz val="9"/>
            <color indexed="81"/>
            <rFont val="Tahoma"/>
            <family val="2"/>
          </rPr>
          <t xml:space="preserve">
</t>
        </r>
        <r>
          <rPr>
            <b/>
            <sz val="9"/>
            <color indexed="81"/>
            <rFont val="Tahoma"/>
            <family val="2"/>
          </rPr>
          <t>- Double per conversation with Jan Tusick</t>
        </r>
      </text>
    </comment>
    <comment ref="C54" authorId="0" shapeId="0">
      <text>
        <r>
          <rPr>
            <sz val="9"/>
            <color indexed="81"/>
            <rFont val="Tahoma"/>
            <family val="2"/>
          </rPr>
          <t>- 10 Heads per minute (per Charlies Machine Catalog)
- 1.5 lbs per head
- 15 lbs per minute, output minus culled materal
- Multiply by 2, just to be safe
- Double per conversation with Jan Tusick</t>
        </r>
      </text>
    </comment>
    <comment ref="C55" authorId="0" shapeId="0">
      <text>
        <r>
          <rPr>
            <sz val="9"/>
            <color indexed="81"/>
            <rFont val="Tahoma"/>
            <family val="2"/>
          </rPr>
          <t>- Estimate: 30 minutes per batch
- Double per conversation with Jan Tusick</t>
        </r>
      </text>
    </comment>
    <comment ref="C56" authorId="0" shapeId="0">
      <text>
        <r>
          <rPr>
            <sz val="9"/>
            <color indexed="81"/>
            <rFont val="Tahoma"/>
            <family val="2"/>
          </rPr>
          <t xml:space="preserve">- Estimate
- Double per conversation with Jan Tusick
</t>
        </r>
      </text>
    </comment>
    <comment ref="C57" authorId="0" shapeId="0">
      <text>
        <r>
          <rPr>
            <b/>
            <sz val="9"/>
            <color indexed="81"/>
            <rFont val="Tahoma"/>
            <family val="2"/>
          </rPr>
          <t xml:space="preserve">- Estimate
- Double per conversation with Jan Tusick
</t>
        </r>
        <r>
          <rPr>
            <sz val="9"/>
            <color indexed="81"/>
            <rFont val="Tahoma"/>
            <family val="2"/>
          </rPr>
          <t xml:space="preserve">
</t>
        </r>
      </text>
    </comment>
    <comment ref="C58" authorId="0" shapeId="0">
      <text>
        <r>
          <rPr>
            <sz val="9"/>
            <color indexed="81"/>
            <rFont val="Tahoma"/>
            <family val="2"/>
          </rPr>
          <t>Estimate: 20 seconds per bag
- Double per conversation with Jan Tusick</t>
        </r>
      </text>
    </comment>
    <comment ref="C59" authorId="0" shapeId="0">
      <text>
        <r>
          <rPr>
            <b/>
            <sz val="9"/>
            <color indexed="81"/>
            <rFont val="Tahoma"/>
            <family val="2"/>
          </rPr>
          <t xml:space="preserve">- Estimate - 5 seconds per label
- Double per conversation with Jan Tusick
</t>
        </r>
        <r>
          <rPr>
            <sz val="9"/>
            <color indexed="81"/>
            <rFont val="Tahoma"/>
            <family val="2"/>
          </rPr>
          <t xml:space="preserve">
</t>
        </r>
      </text>
    </comment>
  </commentList>
</comments>
</file>

<file path=xl/comments7.xml><?xml version="1.0" encoding="utf-8"?>
<comments xmlns="http://schemas.openxmlformats.org/spreadsheetml/2006/main">
  <authors>
    <author>Nils Johnson</author>
  </authors>
  <commentList>
    <comment ref="C67" authorId="0" shapeId="0">
      <text>
        <r>
          <rPr>
            <sz val="9"/>
            <color indexed="81"/>
            <rFont val="Tahoma"/>
            <family val="2"/>
          </rPr>
          <t xml:space="preserve">- 1500 jars per month
- 100 jars per batch
- 256/64 * frozen rental rate ($45 per 64 sqft) = 180/month
- $180/month in freezer rental
- ($180/1500)x100= $12/batch
***** NOT CORRECT *****
- Current frozen storage needs: 256 cubic feet
- Existing (hand pour) method: 4-5 days production every second week
- Existing (hand pour) output: 200 jars of each of 16 flavors in 4 days of production
= 3200/4 = 800 jars per day
- 100 jars per batch
- Processing rate in new facility: 2 times existing rate
= 2 production days per second week
- 4 processing day per month to meet currrent production need
- Batches per month: </t>
        </r>
        <r>
          <rPr>
            <b/>
            <sz val="9"/>
            <color indexed="81"/>
            <rFont val="Tahoma"/>
            <family val="2"/>
          </rPr>
          <t xml:space="preserve">
</t>
        </r>
        <r>
          <rPr>
            <sz val="9"/>
            <color indexed="81"/>
            <rFont val="Tahoma"/>
            <family val="2"/>
          </rPr>
          <t xml:space="preserve">
</t>
        </r>
      </text>
    </comment>
    <comment ref="B68" authorId="0" shapeId="0">
      <text>
        <r>
          <rPr>
            <sz val="9"/>
            <color indexed="81"/>
            <rFont val="Tahoma"/>
            <family val="2"/>
          </rPr>
          <t xml:space="preserve">- 2 pallets of jars on average
</t>
        </r>
      </text>
    </comment>
    <comment ref="B69" authorId="0" shapeId="0">
      <text>
        <r>
          <rPr>
            <sz val="9"/>
            <color indexed="81"/>
            <rFont val="Tahoma"/>
            <family val="2"/>
          </rPr>
          <t xml:space="preserve">- 3 months production in inventory (average)
- 1500 jars per month
- 130 cases of 12 per pallet
= 1500*3/(12*130) = 2.88 pallets.
- go with 4 pallets to be safe, include that it'd be shelves etc.
</t>
        </r>
      </text>
    </comment>
  </commentList>
</comments>
</file>

<file path=xl/comments8.xml><?xml version="1.0" encoding="utf-8"?>
<comments xmlns="http://schemas.openxmlformats.org/spreadsheetml/2006/main">
  <authors>
    <author>Nils Johnson</author>
  </authors>
  <commentList>
    <comment ref="D29" authorId="0" shapeId="0">
      <text>
        <r>
          <rPr>
            <b/>
            <sz val="9"/>
            <color indexed="81"/>
            <rFont val="Tahoma"/>
            <family val="2"/>
          </rPr>
          <t>- $6.05/lb is the current F2FP price for garlic but this price could be much lower 
- Going with: $4.00</t>
        </r>
      </text>
    </comment>
    <comment ref="D41" authorId="0" shapeId="0">
      <text>
        <r>
          <rPr>
            <b/>
            <sz val="9"/>
            <color indexed="81"/>
            <rFont val="Tahoma"/>
            <family val="2"/>
          </rPr>
          <t>$4/gallon</t>
        </r>
        <r>
          <rPr>
            <sz val="9"/>
            <color indexed="81"/>
            <rFont val="Tahoma"/>
            <family val="2"/>
          </rPr>
          <t xml:space="preserve">
</t>
        </r>
      </text>
    </comment>
    <comment ref="C53" authorId="0" shapeId="0">
      <text>
        <r>
          <rPr>
            <b/>
            <sz val="9"/>
            <color indexed="81"/>
            <rFont val="Tahoma"/>
            <family val="2"/>
          </rPr>
          <t>- 7 heads per jar (3/4 lb)
- 1/2 minute to break up 7 heads</t>
        </r>
        <r>
          <rPr>
            <sz val="9"/>
            <color indexed="81"/>
            <rFont val="Tahoma"/>
            <family val="2"/>
          </rPr>
          <t xml:space="preserve">
</t>
        </r>
      </text>
    </comment>
    <comment ref="C54" authorId="0" shapeId="0">
      <text>
        <r>
          <rPr>
            <sz val="9"/>
            <color indexed="81"/>
            <rFont val="Tahoma"/>
            <family val="2"/>
          </rPr>
          <t>- 10 minutes for 8 lbs</t>
        </r>
      </text>
    </comment>
    <comment ref="C55" authorId="0" shapeId="0">
      <text>
        <r>
          <rPr>
            <sz val="9"/>
            <color indexed="81"/>
            <rFont val="Tahoma"/>
            <family val="2"/>
          </rPr>
          <t>- 189 grams total
- About 0.0595 gallons of brine per jar
- About 11 gallons of brine in 180 jars
- Estimate 30 minutes to prepare</t>
        </r>
      </text>
    </comment>
    <comment ref="C56" authorId="0" shapeId="0">
      <text>
        <r>
          <rPr>
            <b/>
            <sz val="9"/>
            <color indexed="81"/>
            <rFont val="Tahoma"/>
            <family val="2"/>
          </rPr>
          <t>1 minute per jar</t>
        </r>
      </text>
    </comment>
  </commentList>
</comments>
</file>

<file path=xl/comments9.xml><?xml version="1.0" encoding="utf-8"?>
<comments xmlns="http://schemas.openxmlformats.org/spreadsheetml/2006/main">
  <authors>
    <author>Nils Johnson</author>
  </authors>
  <commentList>
    <comment ref="C50" authorId="0" shapeId="0">
      <text>
        <r>
          <rPr>
            <b/>
            <sz val="9"/>
            <color indexed="81"/>
            <rFont val="Tahoma"/>
            <family val="2"/>
          </rPr>
          <t>- Labor Rate for Veg Medley from Jan Tusick
     - 3 employees
     - 25 hrs each over 3 days
     - 2000 lbs of product
     - 75/2000 = 0.0375 hrs per lb
     - 3.75 hrs per 100 lb batch</t>
        </r>
        <r>
          <rPr>
            <sz val="9"/>
            <color indexed="81"/>
            <rFont val="Tahoma"/>
            <family val="2"/>
          </rPr>
          <t xml:space="preserve">
</t>
        </r>
      </text>
    </comment>
  </commentList>
</comments>
</file>

<file path=xl/sharedStrings.xml><?xml version="1.0" encoding="utf-8"?>
<sst xmlns="http://schemas.openxmlformats.org/spreadsheetml/2006/main" count="2992" uniqueCount="765">
  <si>
    <t>Pickle Cost/Price Analysis, Sweet Meadows Ranch</t>
  </si>
  <si>
    <t>Batches/day</t>
  </si>
  <si>
    <t>$ Retail, Qts:</t>
  </si>
  <si>
    <t>$ Retail, Pts:</t>
  </si>
  <si>
    <t>Batches of Quarts</t>
  </si>
  <si>
    <t>Batches of Pints</t>
  </si>
  <si>
    <t>Value per Day:</t>
  </si>
  <si>
    <t>Cost per Day:</t>
  </si>
  <si>
    <t xml:space="preserve">Quart/batch: </t>
  </si>
  <si>
    <t>Daily Profit:</t>
  </si>
  <si>
    <t>Pints/batch:</t>
  </si>
  <si>
    <t>Plus Labor:</t>
  </si>
  <si>
    <t>Total Value:</t>
  </si>
  <si>
    <t>Input</t>
  </si>
  <si>
    <t>Bulk Cost</t>
  </si>
  <si>
    <t>Unit</t>
  </si>
  <si>
    <t>Amt. per qt</t>
  </si>
  <si>
    <t>$ Per quart</t>
  </si>
  <si>
    <t>$ Per pint</t>
  </si>
  <si>
    <t>Carrots</t>
  </si>
  <si>
    <t>per lb</t>
  </si>
  <si>
    <t>Lbs</t>
  </si>
  <si>
    <t>Garlic</t>
  </si>
  <si>
    <t>per quart</t>
  </si>
  <si>
    <t>Vinegar</t>
  </si>
  <si>
    <t>per gallon</t>
  </si>
  <si>
    <t>Salt</t>
  </si>
  <si>
    <t>Sugar</t>
  </si>
  <si>
    <t>lbs</t>
  </si>
  <si>
    <t>Jar &amp; lid</t>
  </si>
  <si>
    <t>gals</t>
  </si>
  <si>
    <t>Labor</t>
  </si>
  <si>
    <t>per hour</t>
  </si>
  <si>
    <t>Hrs</t>
  </si>
  <si>
    <t>Kitchen Rental</t>
  </si>
  <si>
    <t xml:space="preserve">Total: </t>
  </si>
  <si>
    <t>Sales Costs</t>
  </si>
  <si>
    <t xml:space="preserve">WSDA </t>
  </si>
  <si>
    <t>Quarts per Day</t>
  </si>
  <si>
    <t>Pints per Day</t>
  </si>
  <si>
    <t>Regulation</t>
  </si>
  <si>
    <t>WSDA Warehouse Lic:</t>
  </si>
  <si>
    <t>Calendar Year</t>
  </si>
  <si>
    <t>Food Processors License:</t>
  </si>
  <si>
    <t>Master Canners License:</t>
  </si>
  <si>
    <t>One-Time Fee</t>
  </si>
  <si>
    <t>Recipe Analysis</t>
  </si>
  <si>
    <t>Per Recipe</t>
  </si>
  <si>
    <t>Equipment Item</t>
  </si>
  <si>
    <t>Purchase Cost</t>
  </si>
  <si>
    <t>IQF Broccoli</t>
  </si>
  <si>
    <t>IQF Cob Corn</t>
  </si>
  <si>
    <t>IQF Root Veg</t>
  </si>
  <si>
    <t>Apple Butter</t>
  </si>
  <si>
    <t>Pickled Garlic</t>
  </si>
  <si>
    <t>Watts</t>
  </si>
  <si>
    <t>Voltage</t>
  </si>
  <si>
    <t>Electrical</t>
  </si>
  <si>
    <t>Source</t>
  </si>
  <si>
    <t>Count</t>
  </si>
  <si>
    <t>Portable SS Table, 4'</t>
  </si>
  <si>
    <t>Portable wire rack, 4'</t>
  </si>
  <si>
    <t>5 gallon electric steam kettle</t>
  </si>
  <si>
    <t>Volumetric Filler</t>
  </si>
  <si>
    <t>Ice Maker</t>
  </si>
  <si>
    <t>Portable Blast Chiller</t>
  </si>
  <si>
    <t>References</t>
  </si>
  <si>
    <t>Brand Name &amp; Model</t>
  </si>
  <si>
    <t>pH Meter</t>
  </si>
  <si>
    <t>Water Activity Meter</t>
  </si>
  <si>
    <t>Walkin Freezer</t>
  </si>
  <si>
    <t>40 gallon electric steam kettle, Electric</t>
  </si>
  <si>
    <t>Cooling Tank, 100 gallon</t>
  </si>
  <si>
    <t>Vacuum Bag Sealer</t>
  </si>
  <si>
    <t>Vegetable Processor</t>
  </si>
  <si>
    <t>Wheeled Cart</t>
  </si>
  <si>
    <t>Alto Sham Cook and Hold Cabinet, 25.5w x 28.8d - 16 pans</t>
  </si>
  <si>
    <t>Electric Oven, Portable</t>
  </si>
  <si>
    <t>Proofing oven, Portable</t>
  </si>
  <si>
    <t>Deb Sternagel, 21 Acres, 6/10/15</t>
  </si>
  <si>
    <t>Soak Tank, 250 gallon</t>
  </si>
  <si>
    <t>Onion/Beet Peeler, OMCAN model DC-08</t>
  </si>
  <si>
    <t>Yvette Rodriqez, MMFEC</t>
  </si>
  <si>
    <t>Hallde RG-400 Vegetable cutter</t>
  </si>
  <si>
    <t>3-basin sink</t>
  </si>
  <si>
    <t>Handwashing Sink</t>
  </si>
  <si>
    <t>Vegetable Cutter</t>
  </si>
  <si>
    <t>Hobart cutter/mixer model:  HCM300</t>
  </si>
  <si>
    <t>Midwest Food Equipment Co</t>
  </si>
  <si>
    <t>EquipmentVoltage</t>
  </si>
  <si>
    <t>Amps</t>
  </si>
  <si>
    <t>240V 2Ph</t>
  </si>
  <si>
    <t>240V 1Ph</t>
  </si>
  <si>
    <t>120V 1Ph</t>
  </si>
  <si>
    <t>200V 3Ph</t>
  </si>
  <si>
    <t>Hp</t>
  </si>
  <si>
    <t>PF</t>
  </si>
  <si>
    <t xml:space="preserve">Hobart HCM450 Vertical cutter/mixer </t>
  </si>
  <si>
    <t>Tooling for vegetable cutters</t>
  </si>
  <si>
    <t>Charlies Machine &amp; Supply</t>
  </si>
  <si>
    <t>2808Equipment (Ebay)</t>
  </si>
  <si>
    <t>440V 3Ph</t>
  </si>
  <si>
    <t>220V 3Ph</t>
  </si>
  <si>
    <t>220V-440V 3Ph</t>
  </si>
  <si>
    <t>Omcan_DC-08-Lb Garlic  Batch Peeler, Webstaurant Store</t>
  </si>
  <si>
    <t>PE-BR-0010-Lb Potato-Beet  Batch Peeler</t>
  </si>
  <si>
    <t>Garlic Abbrasive Peeler, 8 lb</t>
  </si>
  <si>
    <t>Potato-Beet Abbrasive batch peeler 22 lb</t>
  </si>
  <si>
    <t>208V-240V 1Ph</t>
  </si>
  <si>
    <t>Legion brand, Model  HEC 40</t>
  </si>
  <si>
    <t>Costco</t>
  </si>
  <si>
    <t>Compressor for Blast Chiller</t>
  </si>
  <si>
    <t>Delfield T40</t>
  </si>
  <si>
    <t>Delfield T40 CU</t>
  </si>
  <si>
    <t>208V-230V 3Ph</t>
  </si>
  <si>
    <t>Webstaurant Store</t>
  </si>
  <si>
    <t>Hallde RG-400 Attachment</t>
  </si>
  <si>
    <t>Vulcan non-insulated 2000W 120V, 20A</t>
  </si>
  <si>
    <t>Guess - based on similar models on Ebay</t>
  </si>
  <si>
    <t>Blodgett KTTT-6E 6-gallon countertop tilting electric steam kettle</t>
  </si>
  <si>
    <t>Regancy 78", 23"x23"x12" Bowls</t>
  </si>
  <si>
    <t>Deck mount faucet</t>
  </si>
  <si>
    <t>Prewash faucet</t>
  </si>
  <si>
    <t>Home Depot</t>
  </si>
  <si>
    <t>Air compressor for volumetric filler</t>
  </si>
  <si>
    <t>???</t>
  </si>
  <si>
    <t>Fume Hood over steam kettle, 4' x 6'</t>
  </si>
  <si>
    <t>Ebay</t>
  </si>
  <si>
    <t>ARY VacMaster VP731 Two-chamber Floor model with 31" bars</t>
  </si>
  <si>
    <t>Total</t>
  </si>
  <si>
    <t>Guess - based on similar models</t>
  </si>
  <si>
    <t>Gram Scale</t>
  </si>
  <si>
    <t>Edlund Resolution RGS-600 Precision Gram Scale</t>
  </si>
  <si>
    <t>Production Scale</t>
  </si>
  <si>
    <t>Taylor T50E Digital Portion Control Scale</t>
  </si>
  <si>
    <t>Rotonic HP23-AW-Set</t>
  </si>
  <si>
    <t>Hanna Instruments HI2211-01</t>
  </si>
  <si>
    <t>Hanna Instruments</t>
  </si>
  <si>
    <t>Guess - based on price of used units</t>
  </si>
  <si>
    <t>Manitowoc BG-0260 Big Shot Air Cooled 306 lbs per day</t>
  </si>
  <si>
    <t>Used Price</t>
  </si>
  <si>
    <t>New Price</t>
  </si>
  <si>
    <t>Rotonic Web Site</t>
  </si>
  <si>
    <t>Simplex model AS-1</t>
  </si>
  <si>
    <t>Lite Kitchen</t>
  </si>
  <si>
    <t>Intensive Kitchen</t>
  </si>
  <si>
    <t>Teaching Kitchen</t>
  </si>
  <si>
    <t>Retail</t>
  </si>
  <si>
    <t>Leasable Space</t>
  </si>
  <si>
    <t>Facility</t>
  </si>
  <si>
    <t>Notes</t>
  </si>
  <si>
    <t>Sq. Ft.</t>
  </si>
  <si>
    <t>Equipment</t>
  </si>
  <si>
    <t>Value</t>
  </si>
  <si>
    <t>Misson Mountan Food Enterprises Center</t>
  </si>
  <si>
    <t>???? Vegetable Washer</t>
  </si>
  <si>
    <t>Staiinless Steel Soak Tank (250 gal approx)</t>
  </si>
  <si>
    <t>Pre-Pack Machinery Inc. Squash peeler</t>
  </si>
  <si>
    <t>2 electric kettles, Legion brand,Model:  HEC 40</t>
  </si>
  <si>
    <t>Volumetric  Bottler Filler, Simplex brand,  Model AS-1</t>
  </si>
  <si>
    <t>Rolling Proofing cabinet (for heating jars)</t>
  </si>
  <si>
    <t>4 Cyclone convection Ovens</t>
  </si>
  <si>
    <t>Steam boiler (for kettles)</t>
  </si>
  <si>
    <t>2 bath tub sized chller tubs (on wheels)</t>
  </si>
  <si>
    <t>2 steam kettles</t>
  </si>
  <si>
    <t>Stainless fume hood</t>
  </si>
  <si>
    <t>2- compartment vegetable washing stand with screes</t>
  </si>
  <si>
    <t xml:space="preserve">Walk In Chilling Freezer, 8x12, high cooling </t>
  </si>
  <si>
    <t>Walk In Freezer, 28x20 - 8x12</t>
  </si>
  <si>
    <t>Walk in Cooler, 16x40</t>
  </si>
  <si>
    <t>Ice Maker, restaurant size</t>
  </si>
  <si>
    <t>Meat Smoker</t>
  </si>
  <si>
    <t>AMS auger type filler (like an A-100)</t>
  </si>
  <si>
    <t>Cherry Pitter, 1940s vintage Dunkley International Inc.</t>
  </si>
  <si>
    <t>Brine Injector, Lumar Ideal, model LU250</t>
  </si>
  <si>
    <t>Apple Peeler, Feuina</t>
  </si>
  <si>
    <t>Food Processor, Robot Coupe (Beter: Blixer 20)</t>
  </si>
  <si>
    <t>LINC Foods</t>
  </si>
  <si>
    <t>http://www.lincfoods.com/</t>
  </si>
  <si>
    <t>Blue Mountan Station</t>
  </si>
  <si>
    <t>N/A</t>
  </si>
  <si>
    <t>Contact:  Jennie Dicknson, Port of Columbia</t>
  </si>
  <si>
    <t>Type 1 Exhaust Hood</t>
  </si>
  <si>
    <t>jennie@portofcolumbia.org, (509) 382-2577</t>
  </si>
  <si>
    <t>6-burner gas stove/oven</t>
  </si>
  <si>
    <t>Electric Convection Oven</t>
  </si>
  <si>
    <t>Commercial Kitchen Specs</t>
  </si>
  <si>
    <t>Under-Counter commercial dishwasher</t>
  </si>
  <si>
    <t>8x8 walkin cooler</t>
  </si>
  <si>
    <t>8x8 walkin freezer</t>
  </si>
  <si>
    <t>Floor Mixer</t>
  </si>
  <si>
    <t>11 lineal ft of Stainless Steel counter top</t>
  </si>
  <si>
    <t>NW Food Hub</t>
  </si>
  <si>
    <t>http://midcolumbiamarket.org/</t>
  </si>
  <si>
    <t>21 Acres</t>
  </si>
  <si>
    <t>Total area:</t>
  </si>
  <si>
    <t>http://www.21acres.org/rentals/kitchen</t>
  </si>
  <si>
    <t>Kettle Processng Kitchen</t>
  </si>
  <si>
    <t>20 Gallon Tilt Kettle</t>
  </si>
  <si>
    <t>Commerscial Dishwasher</t>
  </si>
  <si>
    <t>72 Cu Ft Refrigerator</t>
  </si>
  <si>
    <t>29" Moveable  Shelving Freezer</t>
  </si>
  <si>
    <t>Berkel Manual Slicer</t>
  </si>
  <si>
    <t>Light Duty Commercial Food Processor</t>
  </si>
  <si>
    <t>Bakery Kitchen</t>
  </si>
  <si>
    <t>Alto Sham Oven</t>
  </si>
  <si>
    <t>Rolling Racks (2)</t>
  </si>
  <si>
    <t>Wood top tables, 48x36</t>
  </si>
  <si>
    <t>Berkel 20 qt mixer</t>
  </si>
  <si>
    <t>Hobart 20 qt mixer</t>
  </si>
  <si>
    <t>Produce Wash &amp; Prep</t>
  </si>
  <si>
    <t>Prep  sinks with drainboards (2)</t>
  </si>
  <si>
    <t>60x24 Stainless Table</t>
  </si>
  <si>
    <t>48x24 Stainless Table</t>
  </si>
  <si>
    <t>Robo Coupe 2 1/2 Qt Food Processor</t>
  </si>
  <si>
    <t>Cookline Kitchen</t>
  </si>
  <si>
    <t>6-burner gas range 36w x 31d x 59h</t>
  </si>
  <si>
    <t>6-Burner Gas Range w/raised griddle-broiler and two ovens</t>
  </si>
  <si>
    <t>Alto Sham Cook and Hold Oven 25.5wx28.8D</t>
  </si>
  <si>
    <t xml:space="preserve">Countertop Induction Cookers 12wx15dx4h (2) </t>
  </si>
  <si>
    <t>Blodgett Full Size Dual Flow Gas convection</t>
  </si>
  <si>
    <t>Fryer – Electric Countertop</t>
  </si>
  <si>
    <t>Large Demo Counter</t>
  </si>
  <si>
    <t>Puget Sound Food Hub</t>
  </si>
  <si>
    <t>Mad River Food Hub</t>
  </si>
  <si>
    <t>Vermont Food Venture Center</t>
  </si>
  <si>
    <t>Walkin Cooler</t>
  </si>
  <si>
    <t>Nor-Lake KLB741014-C 10' x 14' Walk-In Cooler without Floor</t>
  </si>
  <si>
    <t>Nor-Lake KLF771014-C, 10x14 Walk-In Freezer</t>
  </si>
  <si>
    <t>don't need this for an electric filler</t>
  </si>
  <si>
    <t>Sanitizer system</t>
  </si>
  <si>
    <t>Viking Pro V Three Product Liquid Rise Aid</t>
  </si>
  <si>
    <t>X</t>
  </si>
  <si>
    <t>Manual Push Feed for Vegetable Processor</t>
  </si>
  <si>
    <t>Custom made packing table tops</t>
  </si>
  <si>
    <t>custom, like they have at MMFEC</t>
  </si>
  <si>
    <t>Found on the web</t>
  </si>
  <si>
    <t>Technopack E-FP-1000D</t>
  </si>
  <si>
    <t>Line Cost</t>
  </si>
  <si>
    <t>Misc Equipment</t>
  </si>
  <si>
    <t xml:space="preserve">Used in Line: </t>
  </si>
  <si>
    <t>New 6' Fume Hood set on Ebay</t>
  </si>
  <si>
    <t>Used CaptiveAire Fume Hood on Ebay</t>
  </si>
  <si>
    <t>K1496 Grant Project Kitchen Equipment</t>
  </si>
  <si>
    <t>Prewash Faucet</t>
  </si>
  <si>
    <t>Jam/Jelly Costs</t>
  </si>
  <si>
    <t>Office Rental</t>
  </si>
  <si>
    <t>Cold Storage Rental</t>
  </si>
  <si>
    <t>Frozen Storage Rental</t>
  </si>
  <si>
    <t>Product Sales</t>
  </si>
  <si>
    <t>Per Week</t>
  </si>
  <si>
    <t>Per Month</t>
  </si>
  <si>
    <t>Per Year</t>
  </si>
  <si>
    <t>Rate</t>
  </si>
  <si>
    <t>Starting Point (Year 3 after opening)</t>
  </si>
  <si>
    <t>Starting Point (Year 1 after opening)</t>
  </si>
  <si>
    <t>Consulting Work</t>
  </si>
  <si>
    <t>Grants</t>
  </si>
  <si>
    <t>per Hr</t>
  </si>
  <si>
    <t>Hr</t>
  </si>
  <si>
    <t>per mo</t>
  </si>
  <si>
    <t>Month</t>
  </si>
  <si>
    <t>per pallet</t>
  </si>
  <si>
    <t>per day</t>
  </si>
  <si>
    <t>Day</t>
  </si>
  <si>
    <t>per year</t>
  </si>
  <si>
    <t>Costs</t>
  </si>
  <si>
    <t>Income</t>
  </si>
  <si>
    <t xml:space="preserve">Salary: </t>
  </si>
  <si>
    <t>Benefits:</t>
  </si>
  <si>
    <t>Total:</t>
  </si>
  <si>
    <t>Food Proccessing FTE</t>
  </si>
  <si>
    <t>Dry Storage</t>
  </si>
  <si>
    <t xml:space="preserve">Hourly: </t>
  </si>
  <si>
    <t>staff</t>
  </si>
  <si>
    <t>Staff Hrs</t>
  </si>
  <si>
    <t>f</t>
  </si>
  <si>
    <t>per week</t>
  </si>
  <si>
    <t xml:space="preserve">Cold storage : </t>
  </si>
  <si>
    <t>pallets</t>
  </si>
  <si>
    <t>per month</t>
  </si>
  <si>
    <t>Contract processing</t>
  </si>
  <si>
    <t>Other contract work</t>
  </si>
  <si>
    <t>per Month</t>
  </si>
  <si>
    <t>Frozen Storage Space:</t>
  </si>
  <si>
    <t>Ft x Ft, 2 tall</t>
  </si>
  <si>
    <t>Contract Processing</t>
  </si>
  <si>
    <t>per hr</t>
  </si>
  <si>
    <t>Conex's</t>
  </si>
  <si>
    <t>Starting Point (Year 8 after opening)</t>
  </si>
  <si>
    <t>40 gallon tilt skillet</t>
  </si>
  <si>
    <t>Blodgett BLG-40E 40 Gallon manual gear box</t>
  </si>
  <si>
    <t>18k</t>
  </si>
  <si>
    <t>Project Assumptions</t>
  </si>
  <si>
    <t>Project owned by TEDD, operated as an independent nonprofit</t>
  </si>
  <si>
    <t>Purpose built building sized according to a 5-year expansion plan (5 years after opening)</t>
  </si>
  <si>
    <t>Space for 2 simultaneous processing lines</t>
  </si>
  <si>
    <t>Office space for 3 staff plus 6 clients</t>
  </si>
  <si>
    <t>Meeting room/lecture hall for 15 students</t>
  </si>
  <si>
    <t>Onsite shower for office clients</t>
  </si>
  <si>
    <t>Staff (in year 5): Director: 1 FTE</t>
  </si>
  <si>
    <t>Staff (in year 5): Food Safety/Processing Specialist: 1 FTE</t>
  </si>
  <si>
    <t>Staff (in year 5): Markets and Marketing Specialist: 1 FTE</t>
  </si>
  <si>
    <t>Staff (in year 5): Hourly processing staff: 4 @ 0.75 FTE</t>
  </si>
  <si>
    <t>Anchor Clients: 2 clients processing 6 hours per week through the year</t>
  </si>
  <si>
    <t>Anchor Clients: 6 clients processing 12 hours per day for 3 weeks of the year</t>
  </si>
  <si>
    <t>Processing/sanitation ratio: 2 hours sanitation per 6 hours processing</t>
  </si>
  <si>
    <t>Products owned by facility, processing 6 hours per week</t>
  </si>
  <si>
    <t>Revenue Stream Worksheet (Facility Owner Perspective)</t>
  </si>
  <si>
    <t xml:space="preserve">Product: </t>
  </si>
  <si>
    <t>Packaging</t>
  </si>
  <si>
    <t>Frozen Vegetable Medley</t>
  </si>
  <si>
    <t>Red Potatoes</t>
  </si>
  <si>
    <t>Purple Potatoes</t>
  </si>
  <si>
    <t>White Potatoes</t>
  </si>
  <si>
    <t>Orange Carrots</t>
  </si>
  <si>
    <t>Purple Carrots</t>
  </si>
  <si>
    <t>Turnips</t>
  </si>
  <si>
    <t>Winter Squash</t>
  </si>
  <si>
    <t>White Carrots</t>
  </si>
  <si>
    <t>Cost</t>
  </si>
  <si>
    <t>Oil</t>
  </si>
  <si>
    <t>Kitchen Time</t>
  </si>
  <si>
    <t>Per Hr</t>
  </si>
  <si>
    <t>Wash</t>
  </si>
  <si>
    <t>Peel</t>
  </si>
  <si>
    <t>Chop</t>
  </si>
  <si>
    <t>Cook</t>
  </si>
  <si>
    <t>Cool</t>
  </si>
  <si>
    <t>Label</t>
  </si>
  <si>
    <t>Bag</t>
  </si>
  <si>
    <t>Markup over Food Cost:</t>
  </si>
  <si>
    <t xml:space="preserve">Retail Markup over Wholesale: </t>
  </si>
  <si>
    <t>Labor:</t>
  </si>
  <si>
    <t>Hourly Workers</t>
  </si>
  <si>
    <t>Sanitation/Process specialist</t>
  </si>
  <si>
    <t>Muliplier</t>
  </si>
  <si>
    <t xml:space="preserve">Batches per shift: </t>
  </si>
  <si>
    <t>Institutional Mkt.</t>
  </si>
  <si>
    <t>Retail Mkt.</t>
  </si>
  <si>
    <t>Per 8-Hr Shift</t>
  </si>
  <si>
    <t xml:space="preserve">Farmer Revenue: </t>
  </si>
  <si>
    <t xml:space="preserve">House Revenue: </t>
  </si>
  <si>
    <t xml:space="preserve">House Net: </t>
  </si>
  <si>
    <t>Analyses</t>
  </si>
  <si>
    <t>Per Shift</t>
  </si>
  <si>
    <t>Other Ingredients</t>
  </si>
  <si>
    <t>Farm Ingredients</t>
  </si>
  <si>
    <t>Per Sales Unit</t>
  </si>
  <si>
    <t>Per Processing Batch</t>
  </si>
  <si>
    <t>Per Lb of Ingredient Produce</t>
  </si>
  <si>
    <t xml:space="preserve">Weight loss During Processing: </t>
  </si>
  <si>
    <t xml:space="preserve">House Cost: </t>
  </si>
  <si>
    <t xml:space="preserve">Kitchen Rental Rate: </t>
  </si>
  <si>
    <t xml:space="preserve">Retail Market Package Size: </t>
  </si>
  <si>
    <t xml:space="preserve">Institution Market Package Size: </t>
  </si>
  <si>
    <t xml:space="preserve">Batch Size: </t>
  </si>
  <si>
    <t>Institutional Package</t>
  </si>
  <si>
    <t>Retail Package</t>
  </si>
  <si>
    <t xml:space="preserve">Institution Market Pkgs per Batch: </t>
  </si>
  <si>
    <t xml:space="preserve">Retail Market Pkgs per Batch: </t>
  </si>
  <si>
    <t xml:space="preserve">Labor: </t>
  </si>
  <si>
    <t xml:space="preserve">Facilities: </t>
  </si>
  <si>
    <t xml:space="preserve">Packaging: </t>
  </si>
  <si>
    <t xml:space="preserve">Hourly Labor Charge Rate: </t>
  </si>
  <si>
    <t xml:space="preserve">Food Safety Staff Charge Rate: </t>
  </si>
  <si>
    <t xml:space="preserve">Food Safety Staff Pay Rate: </t>
  </si>
  <si>
    <t xml:space="preserve">Hourly Labor Pay Rate: </t>
  </si>
  <si>
    <t>Amount</t>
  </si>
  <si>
    <t>Charge</t>
  </si>
  <si>
    <t>Inputs</t>
  </si>
  <si>
    <t xml:space="preserve">Client Revenue : </t>
  </si>
  <si>
    <t xml:space="preserve">Client Cost: </t>
  </si>
  <si>
    <t xml:space="preserve">Client Net: </t>
  </si>
  <si>
    <t xml:space="preserve">House + Client Net: </t>
  </si>
  <si>
    <t xml:space="preserve">Farm Rev + Client Net: </t>
  </si>
  <si>
    <t>Cost Calcs Per Batch</t>
  </si>
  <si>
    <t xml:space="preserve">Ratio Hs 2 Frm+Client: </t>
  </si>
  <si>
    <t xml:space="preserve">Market Package Size: </t>
  </si>
  <si>
    <t>Per Lb of</t>
  </si>
  <si>
    <t xml:space="preserve">Ingredient </t>
  </si>
  <si>
    <t>Per</t>
  </si>
  <si>
    <t>Sales Unit</t>
  </si>
  <si>
    <t>Per Processing</t>
  </si>
  <si>
    <t>Batch</t>
  </si>
  <si>
    <t>Shift</t>
  </si>
  <si>
    <t xml:space="preserve">All Ingredients: </t>
  </si>
  <si>
    <t>Process Data</t>
  </si>
  <si>
    <t xml:space="preserve">Ingredient Weight Loss During Processing: </t>
  </si>
  <si>
    <t xml:space="preserve">Client Revenue: </t>
  </si>
  <si>
    <t>Frozen Veg Medley in Institutional Package (2.5 Lbs)</t>
  </si>
  <si>
    <t>Processing Facility Revenue Stream Worksheet</t>
  </si>
  <si>
    <t xml:space="preserve">Farmer % of Total Rev: </t>
  </si>
  <si>
    <t>Dill</t>
  </si>
  <si>
    <t>Jar</t>
  </si>
  <si>
    <t>Lid</t>
  </si>
  <si>
    <t>Prepare Brine</t>
  </si>
  <si>
    <t>Pack</t>
  </si>
  <si>
    <t>Process</t>
  </si>
  <si>
    <t>Break up cloves</t>
  </si>
  <si>
    <t xml:space="preserve">Market Pkgs per Batch: </t>
  </si>
  <si>
    <t>Peel/Sort/Cull</t>
  </si>
  <si>
    <t xml:space="preserve">Brine </t>
  </si>
  <si>
    <t>Pickled Garlic in 1-Pint Jars</t>
  </si>
  <si>
    <t>Broccoli</t>
  </si>
  <si>
    <t>Florette</t>
  </si>
  <si>
    <t>Blanch</t>
  </si>
  <si>
    <t>Freeze</t>
  </si>
  <si>
    <t xml:space="preserve">Ingredients:  </t>
  </si>
  <si>
    <t xml:space="preserve">All Costs: </t>
  </si>
  <si>
    <t xml:space="preserve">Farm Ingredients: </t>
  </si>
  <si>
    <t>Frozen Broccoli in Institutional Package (2.5 Lbs)</t>
  </si>
  <si>
    <t>Cheyene Peppers</t>
  </si>
  <si>
    <t>Product</t>
  </si>
  <si>
    <t xml:space="preserve">Sales Price: </t>
  </si>
  <si>
    <t xml:space="preserve">Per-Batch Total: </t>
  </si>
  <si>
    <t>Corn</t>
  </si>
  <si>
    <t>Shuck/Clean</t>
  </si>
  <si>
    <t>Cut</t>
  </si>
  <si>
    <t xml:space="preserve">Note: </t>
  </si>
  <si>
    <t>half-cobs</t>
  </si>
  <si>
    <t>per bag</t>
  </si>
  <si>
    <t xml:space="preserve">Per Cob: </t>
  </si>
  <si>
    <t>Frozen Corn on the Cob (half cobs), in Institutional Package (3.8 Lbs)</t>
  </si>
  <si>
    <t>Markup Multiplier over Food Cost:</t>
  </si>
  <si>
    <t>Simplot Product</t>
  </si>
  <si>
    <t>Sugar Free Jam in 6-oz Jars</t>
  </si>
  <si>
    <t>Stone Fruit</t>
  </si>
  <si>
    <t>Apples</t>
  </si>
  <si>
    <t>Raspberries</t>
  </si>
  <si>
    <t>Marrion Berries</t>
  </si>
  <si>
    <t>Huckleberries</t>
  </si>
  <si>
    <t>Rhubarb</t>
  </si>
  <si>
    <t>Fruit: 4 lbs per Gallon</t>
  </si>
  <si>
    <t>Batch of 100 6-oz Jars: 8 gallons</t>
  </si>
  <si>
    <t>Jars</t>
  </si>
  <si>
    <t>Stevia</t>
  </si>
  <si>
    <t xml:space="preserve">Ingredient Cost:  </t>
  </si>
  <si>
    <t xml:space="preserve">Labor Cost: </t>
  </si>
  <si>
    <t xml:space="preserve">Facilities Cost: </t>
  </si>
  <si>
    <t xml:space="preserve">Packaging Cost: </t>
  </si>
  <si>
    <t>Freezer Rental</t>
  </si>
  <si>
    <t>Processing</t>
  </si>
  <si>
    <t>Prep</t>
  </si>
  <si>
    <t xml:space="preserve">Frozen Storage (64 cubic ft): </t>
  </si>
  <si>
    <t xml:space="preserve">Dry Storage (64 cubic ft): </t>
  </si>
  <si>
    <t>Warehouse</t>
  </si>
  <si>
    <t>Jar Storage</t>
  </si>
  <si>
    <t>Markup Multiplier over all costs:</t>
  </si>
  <si>
    <r>
      <t xml:space="preserve">Cost Calcs </t>
    </r>
    <r>
      <rPr>
        <b/>
        <sz val="8"/>
        <color rgb="FFFF0000"/>
        <rFont val="Calibri"/>
        <family val="2"/>
        <scheme val="minor"/>
      </rPr>
      <t>Per Batch</t>
    </r>
  </si>
  <si>
    <t xml:space="preserve">All costs: </t>
  </si>
  <si>
    <t>Ref product from Inchelium school</t>
  </si>
  <si>
    <t>Dish Washer, high Temperature</t>
  </si>
  <si>
    <t>Payroll Year 1</t>
  </si>
  <si>
    <t>Prepared By:</t>
  </si>
  <si>
    <t>Company Name:</t>
  </si>
  <si>
    <t>Employee Types</t>
  </si>
  <si>
    <t>Number of Owners /Employees</t>
  </si>
  <si>
    <t>Average Hourly Pay (to 2 decimal places, ex. $15.23)</t>
  </si>
  <si>
    <t>Estimated Hrs./Week (per person)</t>
  </si>
  <si>
    <t>Estimated Pay/Month (Total)</t>
  </si>
  <si>
    <t>Annual Totals</t>
  </si>
  <si>
    <t>Owner(s)</t>
  </si>
  <si>
    <t>Full-Time Employees</t>
  </si>
  <si>
    <t>Part-Time Employees</t>
  </si>
  <si>
    <t>Independent Contractors</t>
  </si>
  <si>
    <t>Total Salaries and Wages</t>
  </si>
  <si>
    <t>Payroll Taxes and Benefits</t>
  </si>
  <si>
    <t>Wage Base Limit</t>
  </si>
  <si>
    <t>Percentage of Salary/Wage</t>
  </si>
  <si>
    <t>Estimated Taxes &amp; Benefits/Month (Total)</t>
  </si>
  <si>
    <t>Social Security</t>
  </si>
  <si>
    <t>Medicare</t>
  </si>
  <si>
    <t>--</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</si>
  <si>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</si>
  <si>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</si>
  <si>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</si>
  <si>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</si>
  <si>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</si>
  <si>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</si>
  <si>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</si>
  <si>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</si>
  <si>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Item</t>
  </si>
  <si>
    <t>Conference Room</t>
  </si>
  <si>
    <t>Small Office 1</t>
  </si>
  <si>
    <t>Small Office 2</t>
  </si>
  <si>
    <t>Small Office 3</t>
  </si>
  <si>
    <t>Med Office 2</t>
  </si>
  <si>
    <t>Med Office 3</t>
  </si>
  <si>
    <t>Large Office 1</t>
  </si>
  <si>
    <t>Cold Storage</t>
  </si>
  <si>
    <t>Frozen Storage</t>
  </si>
  <si>
    <t>Small Kitchen</t>
  </si>
  <si>
    <t>per Sq Ft</t>
  </si>
  <si>
    <t>Per Mo</t>
  </si>
  <si>
    <t>Per  Hr</t>
  </si>
  <si>
    <t>Processing Room 1a</t>
  </si>
  <si>
    <t>Processing Room 1b</t>
  </si>
  <si>
    <t>Processing Room 1c</t>
  </si>
  <si>
    <t>Labor Markup</t>
  </si>
  <si>
    <t>% of Charged</t>
  </si>
  <si>
    <t>Products</t>
  </si>
  <si>
    <t>RootVegMedley</t>
  </si>
  <si>
    <t>FrozenBrocolli</t>
  </si>
  <si>
    <t>Rentals</t>
  </si>
  <si>
    <t>Per  Pallet</t>
  </si>
  <si>
    <t>PickledGarlic</t>
  </si>
  <si>
    <t>FrozenCornOnTheCob</t>
  </si>
  <si>
    <t>SugarFreeJam</t>
  </si>
  <si>
    <t>Usage</t>
  </si>
  <si>
    <t>Month:</t>
  </si>
  <si>
    <t>Year 1</t>
  </si>
  <si>
    <t>Revenue</t>
  </si>
  <si>
    <t>of rental</t>
  </si>
  <si>
    <t xml:space="preserve">Office Rental: </t>
  </si>
  <si>
    <t xml:space="preserve">Cost of Rental Space (in use): </t>
  </si>
  <si>
    <t xml:space="preserve">Cost of Rental Space (not uses): </t>
  </si>
  <si>
    <t>MarketConsulting</t>
  </si>
  <si>
    <t>LaborMarkup</t>
  </si>
  <si>
    <t>Prep Kitchen</t>
  </si>
  <si>
    <t>FrozenMeals</t>
  </si>
  <si>
    <t xml:space="preserve">Overhead Percentage: </t>
  </si>
  <si>
    <t>Of Rate</t>
  </si>
  <si>
    <t>Year 2</t>
  </si>
  <si>
    <t>Year 3</t>
  </si>
  <si>
    <t>Year 4</t>
  </si>
  <si>
    <t>Year 5</t>
  </si>
  <si>
    <t>Year 6</t>
  </si>
  <si>
    <t>Year 7</t>
  </si>
  <si>
    <t>Year 8</t>
  </si>
  <si>
    <t>Med Office 1</t>
  </si>
  <si>
    <t>April_Yr1</t>
  </si>
  <si>
    <t>May_Yr1</t>
  </si>
  <si>
    <t>June_Yr1</t>
  </si>
  <si>
    <t>July_Yr1</t>
  </si>
  <si>
    <t>Aug_Yr1</t>
  </si>
  <si>
    <t>Sept_Yr1</t>
  </si>
  <si>
    <t>Oct_Yr1</t>
  </si>
  <si>
    <t>Nov_Yr1</t>
  </si>
  <si>
    <t>Dec_Yr1</t>
  </si>
  <si>
    <t>Jan_Yr1</t>
  </si>
  <si>
    <t>Feb_Yr1</t>
  </si>
  <si>
    <t>Mar_Yr1</t>
  </si>
  <si>
    <t>April_Yr2</t>
  </si>
  <si>
    <t>May_Yr2</t>
  </si>
  <si>
    <t>June_Yr2</t>
  </si>
  <si>
    <t>July_Yr2</t>
  </si>
  <si>
    <t>Aug_Yr2</t>
  </si>
  <si>
    <t>Sept_Yr2</t>
  </si>
  <si>
    <t>Oct_Yr2</t>
  </si>
  <si>
    <t>Nov_Yr2</t>
  </si>
  <si>
    <t>Dec_Yr2</t>
  </si>
  <si>
    <t>Jan_Yr2</t>
  </si>
  <si>
    <t>Feb_Yr2</t>
  </si>
  <si>
    <t>Mar_Yr2</t>
  </si>
  <si>
    <t>April_Yr3</t>
  </si>
  <si>
    <t>May_Yr3</t>
  </si>
  <si>
    <t>June_Yr3</t>
  </si>
  <si>
    <t>July_Yr3</t>
  </si>
  <si>
    <t>Aug_Yr3</t>
  </si>
  <si>
    <t>Sept_Yr3</t>
  </si>
  <si>
    <t>Oct_Yr3</t>
  </si>
  <si>
    <t>Nov_Yr3</t>
  </si>
  <si>
    <t>Dec_Yr3</t>
  </si>
  <si>
    <t>Jan_Yr3</t>
  </si>
  <si>
    <t>Feb_Yr3</t>
  </si>
  <si>
    <t>Mar_Yr3</t>
  </si>
  <si>
    <t>April_Yr4</t>
  </si>
  <si>
    <t>May_Yr4</t>
  </si>
  <si>
    <t>June_Yr4</t>
  </si>
  <si>
    <t>July_Yr4</t>
  </si>
  <si>
    <t>Aug_Yr4</t>
  </si>
  <si>
    <t>Sept_Yr4</t>
  </si>
  <si>
    <t>Oct_Yr4</t>
  </si>
  <si>
    <t>Nov_Yr4</t>
  </si>
  <si>
    <t>Dec_Yr4</t>
  </si>
  <si>
    <t>Jan_Yr4</t>
  </si>
  <si>
    <t>Feb_Yr4</t>
  </si>
  <si>
    <t>Mar_Yr4</t>
  </si>
  <si>
    <t>Mar_Yr5</t>
  </si>
  <si>
    <t>Feb_Yr5</t>
  </si>
  <si>
    <t>Jan_Yr5</t>
  </si>
  <si>
    <t>Dec_Yr5</t>
  </si>
  <si>
    <t>Nov_Yr5</t>
  </si>
  <si>
    <t>Oct_Yr5</t>
  </si>
  <si>
    <t>Sept_Yr5</t>
  </si>
  <si>
    <t>Aug_Yr5</t>
  </si>
  <si>
    <t>July_Yr5</t>
  </si>
  <si>
    <t>June_Yr5</t>
  </si>
  <si>
    <t>May_Yr5</t>
  </si>
  <si>
    <t>April_Yr5</t>
  </si>
  <si>
    <t>April_Yr6</t>
  </si>
  <si>
    <t>May_Yr6</t>
  </si>
  <si>
    <t>June_Yr6</t>
  </si>
  <si>
    <t>July_Yr6</t>
  </si>
  <si>
    <t>Aug_Yr6</t>
  </si>
  <si>
    <t>Sept_Yr6</t>
  </si>
  <si>
    <t>Oct_Yr6</t>
  </si>
  <si>
    <t>Nov_Yr6</t>
  </si>
  <si>
    <t>Dec_Yr6</t>
  </si>
  <si>
    <t>Jan_Yr6</t>
  </si>
  <si>
    <t>Feb_Yr6</t>
  </si>
  <si>
    <t>Mar_Yr6</t>
  </si>
  <si>
    <t>Mar_Yr7</t>
  </si>
  <si>
    <t>Feb_Yr7</t>
  </si>
  <si>
    <t>Jan_Yr7</t>
  </si>
  <si>
    <t>Dec_Yr7</t>
  </si>
  <si>
    <t>Nov_Yr7</t>
  </si>
  <si>
    <t>Oct_Yr7</t>
  </si>
  <si>
    <t>Sept_Yr7</t>
  </si>
  <si>
    <t>Aug_Yr7</t>
  </si>
  <si>
    <t>July_Yr7</t>
  </si>
  <si>
    <t>June_Yr7</t>
  </si>
  <si>
    <t>May_Yr7</t>
  </si>
  <si>
    <t>April_Yr7</t>
  </si>
  <si>
    <t>April_Yr8</t>
  </si>
  <si>
    <t>May_Yr8</t>
  </si>
  <si>
    <t>June_Yr8</t>
  </si>
  <si>
    <t>July_Yr8</t>
  </si>
  <si>
    <t>Aug_Yr8</t>
  </si>
  <si>
    <t>Sept_Yr8</t>
  </si>
  <si>
    <t>Oct_Yr8</t>
  </si>
  <si>
    <t>Nov_Yr8</t>
  </si>
  <si>
    <t>Dec_Yr8</t>
  </si>
  <si>
    <t>Jan_Yr8</t>
  </si>
  <si>
    <t>Feb_Yr8</t>
  </si>
  <si>
    <t>Mar_Yr8</t>
  </si>
  <si>
    <t>Total Production</t>
  </si>
  <si>
    <t>Commercial range</t>
  </si>
  <si>
    <t>Hand Truck</t>
  </si>
  <si>
    <t>Label Printer</t>
  </si>
  <si>
    <t xml:space="preserve">Other: </t>
  </si>
  <si>
    <t xml:space="preserve">Total Monthly Salaries and Wages: </t>
  </si>
  <si>
    <t>Total Employee Wage-Based Costs</t>
  </si>
  <si>
    <t xml:space="preserve">Food Safety &amp; Nutrition: </t>
  </si>
  <si>
    <t xml:space="preserve">Food Industry Client Coach: </t>
  </si>
  <si>
    <t xml:space="preserve">Marketing &amp; Market Development: </t>
  </si>
  <si>
    <t xml:space="preserve">Food Processing (part time): </t>
  </si>
  <si>
    <t xml:space="preserve">Director: </t>
  </si>
  <si>
    <t xml:space="preserve">Advertising: </t>
  </si>
  <si>
    <t xml:space="preserve">Car and Truck Expenses: </t>
  </si>
  <si>
    <t xml:space="preserve">Commissions and Fees: </t>
  </si>
  <si>
    <t xml:space="preserve">Contract Labor (Not included in payroll): </t>
  </si>
  <si>
    <t xml:space="preserve">Insurance (other than health): </t>
  </si>
  <si>
    <t xml:space="preserve">Legal and Professional Services: </t>
  </si>
  <si>
    <t xml:space="preserve">Office Expense: </t>
  </si>
  <si>
    <t xml:space="preserve">Rent or Lease -- Vehicles, Machinery, Equipment: </t>
  </si>
  <si>
    <t xml:space="preserve">Rent or Lease -- Other Business Property: </t>
  </si>
  <si>
    <t xml:space="preserve">Repairs and Maintenance: </t>
  </si>
  <si>
    <t xml:space="preserve">Supplies: </t>
  </si>
  <si>
    <t xml:space="preserve">Travel, Meals and Entertainment: </t>
  </si>
  <si>
    <t xml:space="preserve">Utilities: </t>
  </si>
  <si>
    <t xml:space="preserve">Miscellaneous : </t>
  </si>
  <si>
    <t>Totals</t>
  </si>
  <si>
    <t>$ per Month</t>
  </si>
  <si>
    <t xml:space="preserve">Depreciation: </t>
  </si>
  <si>
    <t xml:space="preserve">Interest: </t>
  </si>
  <si>
    <t xml:space="preserve">Licenses &amp; Certifications: </t>
  </si>
  <si>
    <t xml:space="preserve">IT Services &amp; Software Leases: </t>
  </si>
  <si>
    <t xml:space="preserve">Year 1 Expenses Total: </t>
  </si>
  <si>
    <t xml:space="preserve">Year 1 Revenue Total: </t>
  </si>
  <si>
    <t>Net Revenue</t>
  </si>
  <si>
    <t>Total Revenue</t>
  </si>
  <si>
    <t>Total Expenses</t>
  </si>
  <si>
    <t xml:space="preserve">Year 2 Revenue Total: </t>
  </si>
  <si>
    <t xml:space="preserve">Year 2 Expenses Total: </t>
  </si>
  <si>
    <t xml:space="preserve">Year 3 Revenue Total: </t>
  </si>
  <si>
    <t xml:space="preserve">Year 3 Expenses Total: </t>
  </si>
  <si>
    <t xml:space="preserve">Year 3 Net Revenue: </t>
  </si>
  <si>
    <t xml:space="preserve">Year 2 Net Revenue: </t>
  </si>
  <si>
    <t xml:space="preserve">Year 1 Net Revenue: </t>
  </si>
  <si>
    <t xml:space="preserve">Year 4 Revenue Total: </t>
  </si>
  <si>
    <t xml:space="preserve">Year 4 Expenses Total: </t>
  </si>
  <si>
    <t xml:space="preserve">Year 4 Net Revenue: </t>
  </si>
  <si>
    <t xml:space="preserve">Year 5 Revenue Total: </t>
  </si>
  <si>
    <t xml:space="preserve">Year 5 Expenses Total: </t>
  </si>
  <si>
    <t xml:space="preserve">Year 5 Net Revenue: </t>
  </si>
  <si>
    <t xml:space="preserve">Year 6 Revenue Total: </t>
  </si>
  <si>
    <t xml:space="preserve">Year 6 Expenses Total: </t>
  </si>
  <si>
    <t xml:space="preserve">Year 6 Net Revenue: </t>
  </si>
  <si>
    <t xml:space="preserve">Year 7 Revenue Total: </t>
  </si>
  <si>
    <t xml:space="preserve">Year 7 Expenses Total: </t>
  </si>
  <si>
    <t xml:space="preserve">Year 7 Net Revenue: </t>
  </si>
  <si>
    <t xml:space="preserve">Year 8 Revenue Total: </t>
  </si>
  <si>
    <t xml:space="preserve">Year 8 Expenses Total: </t>
  </si>
  <si>
    <t xml:space="preserve">Year 8 Net Revenue: </t>
  </si>
  <si>
    <t xml:space="preserve">Main Processing Area Peak Hrs (August): </t>
  </si>
  <si>
    <t xml:space="preserve">Year 1 Total Revenue: </t>
  </si>
  <si>
    <t>Year 1 Employee Costs</t>
  </si>
  <si>
    <t xml:space="preserve">Year 1 Total Employee Costs: </t>
  </si>
  <si>
    <t>Year 1 Overhead Costs</t>
  </si>
  <si>
    <t xml:space="preserve">Year 1 Total Overhead Costs: </t>
  </si>
  <si>
    <t>Year 2 Revenue Source</t>
  </si>
  <si>
    <t>Year 1 Revenue Source</t>
  </si>
  <si>
    <t xml:space="preserve">Year 2 Total Revenue: </t>
  </si>
  <si>
    <t>Year 2 Employee Costs</t>
  </si>
  <si>
    <t xml:space="preserve">Year 2 Total Employee Costs: </t>
  </si>
  <si>
    <t>Year 2 Overhead Costs</t>
  </si>
  <si>
    <t xml:space="preserve">Year 2 Total Overhead Costs: </t>
  </si>
  <si>
    <t>Year 3 Revenue Source</t>
  </si>
  <si>
    <t xml:space="preserve">Year 3 Total Revenue: </t>
  </si>
  <si>
    <t>Year 3 Employee Costs</t>
  </si>
  <si>
    <t xml:space="preserve">Year 3 Total Employee Costs: </t>
  </si>
  <si>
    <t>Year 3 Overhead Costs</t>
  </si>
  <si>
    <t xml:space="preserve">Year 3 Total Overhead Costs: </t>
  </si>
  <si>
    <t>Year 4 Revenue Source</t>
  </si>
  <si>
    <t xml:space="preserve">Year 4 Total Revenue: </t>
  </si>
  <si>
    <t>Year 4 Employee Costs</t>
  </si>
  <si>
    <t xml:space="preserve">Year 4 Total Employee Costs: </t>
  </si>
  <si>
    <t>Year 4 Overhead Costs</t>
  </si>
  <si>
    <t xml:space="preserve">Year 4 Total Overhead Costs: </t>
  </si>
  <si>
    <t>Year 5 Revenue Source</t>
  </si>
  <si>
    <t xml:space="preserve">Year 5 Total Revenue: </t>
  </si>
  <si>
    <t>Year 5 Employee Costs</t>
  </si>
  <si>
    <t xml:space="preserve">Year 5 Total Employee Costs: </t>
  </si>
  <si>
    <t>Year 5 Overhead Costs</t>
  </si>
  <si>
    <t xml:space="preserve">Year 5 Total Overhead Costs: </t>
  </si>
  <si>
    <t>Year 6 Revenue Source</t>
  </si>
  <si>
    <t xml:space="preserve">Year 6 Total Revenue: </t>
  </si>
  <si>
    <t>Year 6 Employee Costs</t>
  </si>
  <si>
    <t xml:space="preserve">Year 6 Total Employee Costs: </t>
  </si>
  <si>
    <t>Year 6 Overhead Costs</t>
  </si>
  <si>
    <t xml:space="preserve">Year 6 Total Overhead Costs: </t>
  </si>
  <si>
    <t>Year 7 Revenue Source</t>
  </si>
  <si>
    <t xml:space="preserve">Year 7 Total Revenue: </t>
  </si>
  <si>
    <t>Year 7 Employee Costs</t>
  </si>
  <si>
    <t xml:space="preserve">Year 7 Total Employee Costs: </t>
  </si>
  <si>
    <t>Year 7 Overhead Costs</t>
  </si>
  <si>
    <t xml:space="preserve">Year 7 Total Overhead Costs: </t>
  </si>
  <si>
    <t>Year 8 Revenue Source</t>
  </si>
  <si>
    <t xml:space="preserve">Year 8 Total Revenue: </t>
  </si>
  <si>
    <t>Year 8 Employee Costs</t>
  </si>
  <si>
    <t xml:space="preserve">Year 8 Total Employee Costs: </t>
  </si>
  <si>
    <t>Year 8 Overhead Costs</t>
  </si>
  <si>
    <t xml:space="preserve">Year 8 Total Overhead Costs: </t>
  </si>
  <si>
    <t>:</t>
  </si>
  <si>
    <t xml:space="preserve">Office Rentals: </t>
  </si>
  <si>
    <t xml:space="preserve">Facility Rentals: </t>
  </si>
  <si>
    <t>House-Owned Products:</t>
  </si>
  <si>
    <t>Office &amp; Conference Room  Rentals:</t>
  </si>
  <si>
    <t xml:space="preserve">House-Owned Products: </t>
  </si>
  <si>
    <t xml:space="preserve">Processing Facility &amp; Storage Rentals: </t>
  </si>
  <si>
    <t xml:space="preserve">Year 8 </t>
  </si>
  <si>
    <t>Income Streams</t>
  </si>
  <si>
    <t>Non-Production Employee Salaries:</t>
  </si>
  <si>
    <t xml:space="preserve">Building &amp; Utilities: </t>
  </si>
  <si>
    <t xml:space="preserve">Licensing, Insurance, &amp; Services: </t>
  </si>
  <si>
    <t xml:space="preserve">Marketing &amp; Business Development: </t>
  </si>
  <si>
    <t>Label Applier</t>
  </si>
  <si>
    <t xml:space="preserve">Total Revenue: </t>
  </si>
  <si>
    <t xml:space="preserve">Annual Profit/Loss (Large Configuration): </t>
  </si>
  <si>
    <t>Total Cumulative Profit/Loss (Large Configuration):</t>
  </si>
  <si>
    <t xml:space="preserve">Total Capital Cost of Construction: </t>
  </si>
  <si>
    <t>Site:</t>
  </si>
  <si>
    <t>Building:</t>
  </si>
  <si>
    <t>Equipment:</t>
  </si>
  <si>
    <t>Year 0</t>
  </si>
  <si>
    <t>Year 8 Farmer Revenue</t>
  </si>
  <si>
    <t>House Revenue</t>
  </si>
  <si>
    <t>Farmer Revenue</t>
  </si>
  <si>
    <t>Revenue in Year 8</t>
  </si>
  <si>
    <t>Year 8 Total Revenue Breakdown</t>
  </si>
  <si>
    <t>Office &amp; Conference Room Rentals</t>
  </si>
  <si>
    <t>House-Owned Products</t>
  </si>
  <si>
    <t>Processing Facility &amp; Storage Rentals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</si>
</sst>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
    <numFmt numFmtId="167" formatCode="0_);[Red]\(0\)"/>
  </numFmts>
  <fonts count="36" x14ac:knownFonts="1">
    <font>
      <sz val="11"/>
      <color theme="1"/>
      <name val="Calibri"/>
      <family val="2"/>
      <scheme val="minor"/>
    </font>
    <font>
      <b/>
      <sz val="11"/>
      <color theme="1"/>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
      <u/>
      <sz val="8"/>
      <color theme="10"/>
      <name val="Calibri"/>
      <family val="2"/>
      <scheme val="minor"/>
    </font>
    <font>
      <b/>
      <sz val="8"/>
      <color rgb="FFFF0000"/>
      <name val="Calibri"/>
      <family val="2"/>
      <scheme val="minor"/>
    </font>
    <font>
      <b/>
      <sz val="8"/>
      <color theme="1"/>
      <name val="Calibri"/>
      <family val="2"/>
      <scheme val="minor"/>
    </font>
    <font>
      <u/>
      <sz val="8"/>
      <color theme="10"/>
      <name val="Calibri"/>
      <family val="2"/>
    </font>
    <font>
      <sz val="10"/>
      <color theme="1"/>
      <name val="Calibri"/>
      <family val="2"/>
      <scheme val="minor"/>
    </font>
    <font>
      <sz val="9"/>
      <color indexed="81"/>
      <name val="Tahoma"/>
      <family val="2"/>
    </font>
    <font>
      <b/>
      <sz val="9"/>
      <color indexed="81"/>
      <name val="Tahoma"/>
      <family val="2"/>
    </font>
    <font>
      <b/>
      <sz val="11"/>
      <color theme="0"/>
      <name val="Calibri"/>
      <family val="2"/>
      <scheme val="minor"/>
    </font>
    <font>
      <sz val="11"/>
      <color theme="0"/>
      <name val="Calibri"/>
      <family val="2"/>
      <scheme val="minor"/>
    </font>
    <font>
      <b/>
      <sz val="12"/>
      <color theme="0"/>
      <name val="Calibri"/>
      <family val="2"/>
      <scheme val="minor"/>
    </font>
    <font>
      <sz val="10"/>
      <color theme="0"/>
      <name val="Calibri"/>
      <family val="2"/>
      <scheme val="minor"/>
    </font>
    <font>
      <b/>
      <sz val="8"/>
      <color theme="0"/>
      <name val="Calibri"/>
      <family val="2"/>
      <scheme val="minor"/>
    </font>
    <font>
      <sz val="8"/>
      <color theme="0"/>
      <name val="Calibri"/>
      <family val="2"/>
      <scheme val="minor"/>
    </font>
    <font>
      <b/>
      <sz val="10"/>
      <color theme="0"/>
      <name val="Calibri"/>
      <family val="2"/>
      <scheme val="minor"/>
    </font>
    <font>
      <b/>
      <sz val="10"/>
      <color theme="1"/>
      <name val="Calibri"/>
      <family val="2"/>
      <scheme val="minor"/>
    </font>
    <font>
      <sz val="11"/>
      <color theme="1"/>
      <name val="Calibri"/>
      <family val="2"/>
      <scheme val="minor"/>
    </font>
    <font>
      <b/>
      <sz val="15"/>
      <color theme="3"/>
      <name val="Calibri"/>
      <family val="2"/>
      <scheme val="minor"/>
    </font>
    <font>
      <b/>
      <sz val="9"/>
      <name val="Gill Sans MT"/>
      <family val="2"/>
    </font>
    <font>
      <sz val="9"/>
      <color indexed="8"/>
      <name val="Gill Sans MT"/>
      <family val="2"/>
    </font>
    <font>
      <b/>
      <sz val="9"/>
      <color indexed="57"/>
      <name val="Gill Sans MT"/>
      <family val="2"/>
    </font>
    <font>
      <sz val="9"/>
      <name val="Gill Sans MT"/>
      <family val="2"/>
    </font>
    <font>
      <sz val="10"/>
      <color indexed="81"/>
      <name val="Gill Sans MT"/>
      <family val="2"/>
    </font>
    <font>
      <sz val="11"/>
      <color indexed="81"/>
      <name val="Gill Sans MT"/>
      <family val="2"/>
    </font>
    <font>
      <b/>
      <sz val="11"/>
      <color indexed="81"/>
      <name val="Gill Sans MT"/>
      <family val="2"/>
    </font>
    <font>
      <sz val="9"/>
      <color theme="1"/>
      <name val="Gill Sans MT"/>
      <family val="2"/>
    </font>
    <font>
      <b/>
      <sz val="9"/>
      <color theme="0"/>
      <name val="Gill Sans MT"/>
      <family val="2"/>
    </font>
    <font>
      <sz val="9"/>
      <color theme="0"/>
      <name val="Gill Sans MT"/>
      <family val="2"/>
    </font>
    <font>
      <b/>
      <sz val="10"/>
      <name val="Calibri"/>
      <family val="2"/>
      <scheme val="minor"/>
    </font>
    <font>
      <b/>
      <u/>
      <sz val="11"/>
      <color theme="0"/>
      <name val="Calibri"/>
      <family val="2"/>
      <scheme val="minor"/>
    </font>
    <font>
      <b/>
      <sz val="11"/>
      <name val="Calibri"/>
      <family val="2"/>
      <scheme val="minor"/>
    </font>
    <font>
      <sz val="11"/>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9" tint="-0.499984740745262"/>
        <bgColor indexed="64"/>
      </patternFill>
    </fill>
    <fill>
      <patternFill patternType="solid">
        <fgColor theme="0"/>
        <bgColor indexed="64"/>
      </patternFill>
    </fill>
    <fill>
      <patternFill patternType="solid">
        <fgColor rgb="FFFFC95B"/>
        <bgColor indexed="64"/>
      </patternFill>
    </fill>
    <fill>
      <patternFill patternType="solid">
        <fgColor indexed="9"/>
        <bgColor indexed="64"/>
      </patternFill>
    </fill>
    <fill>
      <patternFill patternType="solid">
        <fgColor theme="6" tint="0.79998168889431442"/>
        <bgColor indexed="64"/>
      </patternFill>
    </fill>
  </fills>
  <borders count="7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bottom style="thin">
        <color auto="1"/>
      </bottom>
      <diagonal/>
    </border>
    <border>
      <left style="hair">
        <color auto="1"/>
      </left>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top style="hair">
        <color auto="1"/>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thin">
        <color auto="1"/>
      </left>
      <right/>
      <top/>
      <bottom/>
      <diagonal/>
    </border>
    <border>
      <left style="hair">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diagonalUp="1" diagonalDown="1">
      <left style="thin">
        <color auto="1"/>
      </left>
      <right style="thin">
        <color auto="1"/>
      </right>
      <top style="thin">
        <color auto="1"/>
      </top>
      <bottom style="thin">
        <color auto="1"/>
      </bottom>
      <diagonal style="thin">
        <color auto="1"/>
      </diagonal>
    </border>
    <border>
      <left style="thin">
        <color auto="1"/>
      </left>
      <right style="thin">
        <color auto="1"/>
      </right>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bottom style="hair">
        <color auto="1"/>
      </bottom>
      <diagonal/>
    </border>
    <border>
      <left style="thin">
        <color auto="1"/>
      </left>
      <right/>
      <top style="hair">
        <color auto="1"/>
      </top>
      <bottom/>
      <diagonal/>
    </border>
    <border>
      <left/>
      <right style="hair">
        <color auto="1"/>
      </right>
      <top style="thin">
        <color auto="1"/>
      </top>
      <bottom style="hair">
        <color auto="1"/>
      </bottom>
      <diagonal/>
    </border>
    <border>
      <left/>
      <right style="hair">
        <color auto="1"/>
      </right>
      <top style="hair">
        <color auto="1"/>
      </top>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hair">
        <color auto="1"/>
      </left>
      <right/>
      <top style="hair">
        <color auto="1"/>
      </top>
      <bottom/>
      <diagonal/>
    </border>
    <border>
      <left style="thin">
        <color auto="1"/>
      </left>
      <right style="hair">
        <color auto="1"/>
      </right>
      <top/>
      <bottom style="thin">
        <color auto="1"/>
      </bottom>
      <diagonal/>
    </border>
    <border>
      <left style="hair">
        <color auto="1"/>
      </left>
      <right/>
      <top style="thin">
        <color auto="1"/>
      </top>
      <bottom/>
      <diagonal/>
    </border>
    <border>
      <left style="hair">
        <color auto="1"/>
      </left>
      <right/>
      <top/>
      <bottom/>
      <diagonal/>
    </border>
    <border>
      <left style="hair">
        <color auto="1"/>
      </left>
      <right style="thin">
        <color auto="1"/>
      </right>
      <top/>
      <bottom/>
      <diagonal/>
    </border>
    <border>
      <left/>
      <right style="hair">
        <color auto="1"/>
      </right>
      <top/>
      <bottom/>
      <diagonal/>
    </border>
    <border>
      <left/>
      <right style="hair">
        <color auto="1"/>
      </right>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diagonal/>
    </border>
    <border>
      <left/>
      <right style="thin">
        <color auto="1"/>
      </right>
      <top style="thin">
        <color auto="1"/>
      </top>
      <bottom style="hair">
        <color auto="1"/>
      </bottom>
      <diagonal/>
    </border>
    <border>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hair">
        <color auto="1"/>
      </right>
      <top style="hair">
        <color auto="1"/>
      </top>
      <bottom/>
      <diagonal/>
    </border>
    <border>
      <left style="hair">
        <color auto="1"/>
      </left>
      <right/>
      <top/>
      <bottom style="thin">
        <color auto="1"/>
      </bottom>
      <diagonal/>
    </border>
    <border>
      <left/>
      <right/>
      <top/>
      <bottom style="thick">
        <color theme="4"/>
      </bottom>
      <diagonal/>
    </border>
    <border>
      <left style="thin">
        <color indexed="64"/>
      </left>
      <right style="thin">
        <color indexed="64"/>
      </right>
      <top style="thin">
        <color indexed="64"/>
      </top>
      <bottom style="thick">
        <color theme="3"/>
      </bottom>
      <diagonal/>
    </border>
    <border>
      <left/>
      <right style="thin">
        <color auto="1"/>
      </right>
      <top style="hair">
        <color auto="1"/>
      </top>
      <bottom style="hair">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style="thick">
        <color auto="1"/>
      </top>
      <bottom style="thin">
        <color auto="1"/>
      </bottom>
      <diagonal/>
    </border>
    <border>
      <left style="hair">
        <color auto="1"/>
      </left>
      <right style="hair">
        <color auto="1"/>
      </right>
      <top style="thin">
        <color auto="1"/>
      </top>
      <bottom/>
      <diagonal/>
    </border>
    <border diagonalUp="1" diagonalDown="1">
      <left style="hair">
        <color auto="1"/>
      </left>
      <right style="hair">
        <color auto="1"/>
      </right>
      <top style="thin">
        <color auto="1"/>
      </top>
      <bottom style="thin">
        <color auto="1"/>
      </bottom>
      <diagonal style="thin">
        <color auto="1"/>
      </diagonal>
    </border>
    <border diagonalUp="1" diagonalDown="1">
      <left style="hair">
        <color auto="1"/>
      </left>
      <right/>
      <top style="thin">
        <color auto="1"/>
      </top>
      <bottom style="thin">
        <color auto="1"/>
      </bottom>
      <diagonal style="thin">
        <color auto="1"/>
      </diagonal>
    </border>
    <border diagonalUp="1" diagonalDown="1">
      <left/>
      <right style="hair">
        <color auto="1"/>
      </right>
      <top style="thin">
        <color auto="1"/>
      </top>
      <bottom style="thin">
        <color auto="1"/>
      </bottom>
      <diagonal style="thin">
        <color auto="1"/>
      </diagonal>
    </border>
    <border diagonalUp="1" diagonalDown="1">
      <left style="thin">
        <color auto="1"/>
      </left>
      <right/>
      <top style="thin">
        <color auto="1"/>
      </top>
      <bottom style="thin">
        <color auto="1"/>
      </bottom>
      <diagonal style="thin">
        <color auto="1"/>
      </diagonal>
    </border>
  </borders>
  <cellStyleXfs count="6">
    <xf numFmtId="0" fontId="0" fillId="0" borderId="0"/>
    <xf numFmtId="0" fontId="4" fillId="0" borderId="0" applyNumberForma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21" fillId="0" borderId="64" applyNumberFormat="0" applyFill="0" applyAlignment="0" applyProtection="0"/>
  </cellStyleXfs>
  <cellXfs count="633">
    <xf numFmtId="0" fontId="0" fillId="0" borderId="0" xfId="0"/>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1" fillId="0" borderId="0" xfId="0" applyFont="1" applyBorder="1" applyAlignment="1">
      <alignment horizontal="center" vertical="center"/>
    </xf>
    <xf numFmtId="164" fontId="0" fillId="0" borderId="7" xfId="0" applyNumberFormat="1" applyFont="1" applyBorder="1" applyAlignment="1">
      <alignment horizontal="center" vertical="center"/>
    </xf>
    <xf numFmtId="0" fontId="0" fillId="0" borderId="2" xfId="0" applyFont="1" applyBorder="1" applyAlignment="1">
      <alignment horizontal="center" vertical="center"/>
    </xf>
    <xf numFmtId="164" fontId="0" fillId="0" borderId="10" xfId="0" applyNumberFormat="1" applyFont="1" applyBorder="1" applyAlignment="1">
      <alignment horizontal="center" vertical="center"/>
    </xf>
    <xf numFmtId="0" fontId="0" fillId="0" borderId="5" xfId="0" applyBorder="1"/>
    <xf numFmtId="0" fontId="0" fillId="0" borderId="7" xfId="0" applyBorder="1" applyAlignment="1">
      <alignment horizontal="center"/>
    </xf>
    <xf numFmtId="0" fontId="1" fillId="0" borderId="11" xfId="0" applyFont="1" applyBorder="1" applyAlignment="1">
      <alignment horizontal="center" vertical="center"/>
    </xf>
    <xf numFmtId="0" fontId="0" fillId="0" borderId="8" xfId="0" applyBorder="1"/>
    <xf numFmtId="0" fontId="0" fillId="0" borderId="10" xfId="0" applyBorder="1" applyAlignment="1">
      <alignment horizontal="center"/>
    </xf>
    <xf numFmtId="0" fontId="0" fillId="0" borderId="1" xfId="0" applyBorder="1" applyAlignment="1">
      <alignment horizontal="center" vertical="center"/>
    </xf>
    <xf numFmtId="0" fontId="0" fillId="0" borderId="0" xfId="0" applyBorder="1"/>
    <xf numFmtId="164" fontId="0" fillId="0" borderId="7" xfId="0" applyNumberFormat="1" applyBorder="1"/>
    <xf numFmtId="8" fontId="0" fillId="0" borderId="10" xfId="0" applyNumberFormat="1" applyBorder="1"/>
    <xf numFmtId="0" fontId="0" fillId="0" borderId="12" xfId="0" applyBorder="1"/>
    <xf numFmtId="0" fontId="0" fillId="0" borderId="13" xfId="0" applyBorder="1" applyAlignment="1">
      <alignment horizontal="center"/>
    </xf>
    <xf numFmtId="8" fontId="1" fillId="0" borderId="16" xfId="0" applyNumberFormat="1" applyFont="1" applyBorder="1"/>
    <xf numFmtId="0" fontId="0" fillId="0" borderId="13" xfId="0" applyBorder="1"/>
    <xf numFmtId="0" fontId="0" fillId="0" borderId="17" xfId="0" applyBorder="1"/>
    <xf numFmtId="0" fontId="1" fillId="0" borderId="5" xfId="0" applyFont="1" applyBorder="1"/>
    <xf numFmtId="0" fontId="1" fillId="0" borderId="6" xfId="0" applyFont="1" applyBorder="1" applyAlignment="1">
      <alignment vertical="center"/>
    </xf>
    <xf numFmtId="0" fontId="1" fillId="0" borderId="6" xfId="0" applyFont="1" applyBorder="1"/>
    <xf numFmtId="0" fontId="1" fillId="0" borderId="18" xfId="0" applyFont="1" applyBorder="1"/>
    <xf numFmtId="0" fontId="1" fillId="0" borderId="7" xfId="0" applyFont="1" applyBorder="1"/>
    <xf numFmtId="0" fontId="0" fillId="0" borderId="19" xfId="0" applyBorder="1"/>
    <xf numFmtId="8" fontId="0" fillId="0" borderId="20" xfId="0" applyNumberFormat="1" applyBorder="1"/>
    <xf numFmtId="165" fontId="0" fillId="0" borderId="20" xfId="0" applyNumberFormat="1" applyBorder="1"/>
    <xf numFmtId="165" fontId="0" fillId="0" borderId="21" xfId="0" applyNumberFormat="1" applyBorder="1"/>
    <xf numFmtId="8" fontId="0" fillId="0" borderId="22" xfId="0" applyNumberFormat="1" applyBorder="1"/>
    <xf numFmtId="8" fontId="0" fillId="0" borderId="0" xfId="0" applyNumberFormat="1"/>
    <xf numFmtId="0" fontId="0" fillId="0" borderId="23" xfId="0" applyFill="1" applyBorder="1"/>
    <xf numFmtId="8" fontId="0" fillId="0" borderId="24" xfId="0" applyNumberFormat="1" applyFill="1" applyBorder="1"/>
    <xf numFmtId="0" fontId="0" fillId="0" borderId="20" xfId="0" applyBorder="1"/>
    <xf numFmtId="0" fontId="0" fillId="0" borderId="21" xfId="0" applyBorder="1"/>
    <xf numFmtId="2" fontId="0" fillId="0" borderId="20" xfId="0" applyNumberFormat="1" applyBorder="1"/>
    <xf numFmtId="2" fontId="0" fillId="0" borderId="21" xfId="0" applyNumberFormat="1" applyBorder="1"/>
    <xf numFmtId="8" fontId="0" fillId="0" borderId="9" xfId="0" applyNumberFormat="1" applyBorder="1"/>
    <xf numFmtId="2" fontId="0" fillId="0" borderId="9" xfId="0" applyNumberFormat="1" applyBorder="1"/>
    <xf numFmtId="2" fontId="0" fillId="0" borderId="25" xfId="0" applyNumberFormat="1" applyBorder="1"/>
    <xf numFmtId="164" fontId="0" fillId="0" borderId="6" xfId="0" applyNumberFormat="1" applyBorder="1" applyAlignment="1">
      <alignment horizontal="center"/>
    </xf>
    <xf numFmtId="164" fontId="0" fillId="0" borderId="20" xfId="0" applyNumberFormat="1" applyBorder="1" applyAlignment="1">
      <alignment horizontal="center"/>
    </xf>
    <xf numFmtId="164" fontId="0" fillId="0" borderId="9" xfId="0" applyNumberFormat="1" applyBorder="1" applyAlignment="1">
      <alignment horizontal="center"/>
    </xf>
    <xf numFmtId="164" fontId="0" fillId="0" borderId="0" xfId="0" applyNumberFormat="1"/>
    <xf numFmtId="0" fontId="0" fillId="0" borderId="0" xfId="0" applyAlignment="1">
      <alignment horizontal="center"/>
    </xf>
    <xf numFmtId="0" fontId="0" fillId="0" borderId="4" xfId="0" applyBorder="1" applyAlignment="1">
      <alignment horizontal="center"/>
    </xf>
    <xf numFmtId="0" fontId="2" fillId="0" borderId="15" xfId="0" applyFont="1" applyBorder="1"/>
    <xf numFmtId="0" fontId="2" fillId="0" borderId="0" xfId="0" applyFont="1" applyAlignment="1">
      <alignment horizontal="center"/>
    </xf>
    <xf numFmtId="0" fontId="2" fillId="0" borderId="0" xfId="0" applyFont="1"/>
    <xf numFmtId="0" fontId="2" fillId="0" borderId="4" xfId="0" applyFont="1" applyBorder="1" applyAlignment="1">
      <alignment horizontal="center"/>
    </xf>
    <xf numFmtId="0" fontId="2" fillId="0" borderId="14" xfId="0" applyFont="1" applyBorder="1" applyAlignment="1">
      <alignment horizontal="center"/>
    </xf>
    <xf numFmtId="0" fontId="2" fillId="0" borderId="27"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30" xfId="0" applyFont="1" applyBorder="1" applyAlignment="1">
      <alignment horizontal="center"/>
    </xf>
    <xf numFmtId="0" fontId="2" fillId="0" borderId="14" xfId="0" applyFont="1" applyBorder="1"/>
    <xf numFmtId="0" fontId="2" fillId="0" borderId="27" xfId="0" applyFont="1" applyBorder="1"/>
    <xf numFmtId="164" fontId="2" fillId="0" borderId="15" xfId="0" applyNumberFormat="1" applyFont="1" applyBorder="1"/>
    <xf numFmtId="0" fontId="2" fillId="0" borderId="29" xfId="0" applyFont="1" applyBorder="1"/>
    <xf numFmtId="164" fontId="2" fillId="0" borderId="29" xfId="0" applyNumberFormat="1" applyFont="1" applyBorder="1"/>
    <xf numFmtId="0" fontId="2" fillId="0" borderId="16" xfId="0" applyFont="1" applyBorder="1"/>
    <xf numFmtId="0" fontId="2" fillId="0" borderId="4" xfId="0" applyFont="1" applyBorder="1"/>
    <xf numFmtId="0" fontId="2" fillId="0" borderId="29" xfId="0" applyFont="1" applyBorder="1" applyAlignment="1">
      <alignment horizontal="center"/>
    </xf>
    <xf numFmtId="0" fontId="3" fillId="0" borderId="4" xfId="0" applyFont="1" applyBorder="1" applyAlignment="1">
      <alignment horizontal="center"/>
    </xf>
    <xf numFmtId="0" fontId="0" fillId="0" borderId="34" xfId="0" applyBorder="1" applyAlignment="1">
      <alignment horizontal="center"/>
    </xf>
    <xf numFmtId="0" fontId="5" fillId="0" borderId="15" xfId="1" applyFont="1" applyBorder="1"/>
    <xf numFmtId="0" fontId="5" fillId="0" borderId="27" xfId="1" applyFont="1" applyBorder="1"/>
    <xf numFmtId="0" fontId="5" fillId="0" borderId="16" xfId="1" applyFont="1" applyBorder="1"/>
    <xf numFmtId="0" fontId="5" fillId="0" borderId="29" xfId="1" applyFont="1" applyBorder="1"/>
    <xf numFmtId="1" fontId="2" fillId="0" borderId="14" xfId="0" applyNumberFormat="1" applyFont="1" applyBorder="1" applyAlignment="1">
      <alignment horizontal="center"/>
    </xf>
    <xf numFmtId="1" fontId="2" fillId="0" borderId="15" xfId="0" applyNumberFormat="1" applyFont="1" applyBorder="1" applyAlignment="1">
      <alignment horizontal="center"/>
    </xf>
    <xf numFmtId="3" fontId="2" fillId="0" borderId="15" xfId="0" applyNumberFormat="1" applyFont="1" applyBorder="1" applyAlignment="1">
      <alignment horizontal="center"/>
    </xf>
    <xf numFmtId="12" fontId="2" fillId="0" borderId="15" xfId="0" applyNumberFormat="1" applyFont="1" applyBorder="1" applyAlignment="1">
      <alignment horizontal="center"/>
    </xf>
    <xf numFmtId="1" fontId="6" fillId="0" borderId="15" xfId="0" applyNumberFormat="1" applyFont="1" applyBorder="1" applyAlignment="1">
      <alignment horizontal="center"/>
    </xf>
    <xf numFmtId="164" fontId="2" fillId="0" borderId="0" xfId="0" applyNumberFormat="1" applyFont="1"/>
    <xf numFmtId="0" fontId="7" fillId="0" borderId="0" xfId="0" applyFont="1" applyAlignment="1">
      <alignment horizontal="center"/>
    </xf>
    <xf numFmtId="164" fontId="7" fillId="0" borderId="0" xfId="0" applyNumberFormat="1" applyFont="1" applyAlignment="1">
      <alignment horizontal="center"/>
    </xf>
    <xf numFmtId="164" fontId="2" fillId="0" borderId="30" xfId="0" applyNumberFormat="1" applyFont="1" applyBorder="1"/>
    <xf numFmtId="0" fontId="7" fillId="0" borderId="26" xfId="0" applyFont="1" applyBorder="1" applyAlignment="1">
      <alignment horizontal="center"/>
    </xf>
    <xf numFmtId="164" fontId="2" fillId="0" borderId="16" xfId="0" applyNumberFormat="1" applyFont="1" applyBorder="1" applyAlignment="1">
      <alignment horizontal="center"/>
    </xf>
    <xf numFmtId="0" fontId="2" fillId="0" borderId="26" xfId="0" applyFont="1" applyBorder="1"/>
    <xf numFmtId="164" fontId="2" fillId="0" borderId="16" xfId="0" applyNumberFormat="1" applyFont="1" applyBorder="1"/>
    <xf numFmtId="0" fontId="2" fillId="0" borderId="24" xfId="0" applyFont="1" applyFill="1" applyBorder="1"/>
    <xf numFmtId="0" fontId="8" fillId="0" borderId="26" xfId="1" applyFont="1" applyBorder="1" applyAlignment="1" applyProtection="1"/>
    <xf numFmtId="0" fontId="8" fillId="0" borderId="15" xfId="1" applyFont="1" applyBorder="1" applyAlignment="1" applyProtection="1"/>
    <xf numFmtId="0" fontId="8" fillId="0" borderId="27" xfId="1" applyFont="1" applyBorder="1" applyAlignment="1" applyProtection="1"/>
    <xf numFmtId="0" fontId="8" fillId="0" borderId="29" xfId="1" applyFont="1" applyBorder="1" applyAlignment="1" applyProtection="1"/>
    <xf numFmtId="0" fontId="8" fillId="0" borderId="30" xfId="1" applyFont="1" applyBorder="1" applyAlignment="1" applyProtection="1"/>
    <xf numFmtId="0" fontId="7" fillId="0" borderId="0" xfId="0" applyFont="1"/>
    <xf numFmtId="0" fontId="7" fillId="0" borderId="13" xfId="0" applyFont="1" applyBorder="1" applyAlignment="1">
      <alignment horizontal="center"/>
    </xf>
    <xf numFmtId="0" fontId="7" fillId="0" borderId="17" xfId="0" applyFont="1" applyBorder="1" applyAlignment="1">
      <alignment horizontal="center"/>
    </xf>
    <xf numFmtId="0" fontId="7" fillId="0" borderId="14" xfId="0" applyFont="1" applyBorder="1" applyAlignment="1">
      <alignment horizontal="center"/>
    </xf>
    <xf numFmtId="0" fontId="7" fillId="0" borderId="27" xfId="0" applyFont="1" applyBorder="1" applyAlignment="1">
      <alignment horizontal="center"/>
    </xf>
    <xf numFmtId="0" fontId="7" fillId="0" borderId="15" xfId="0" applyFont="1" applyBorder="1" applyAlignment="1">
      <alignment horizontal="center"/>
    </xf>
    <xf numFmtId="0" fontId="7" fillId="0" borderId="29" xfId="0" applyFont="1" applyBorder="1" applyAlignment="1">
      <alignment horizontal="center"/>
    </xf>
    <xf numFmtId="0" fontId="7" fillId="0" borderId="16" xfId="0" applyFont="1" applyBorder="1" applyAlignment="1">
      <alignment horizontal="center"/>
    </xf>
    <xf numFmtId="0" fontId="7" fillId="0" borderId="30" xfId="0" applyFont="1" applyBorder="1" applyAlignment="1">
      <alignment horizontal="center"/>
    </xf>
    <xf numFmtId="0" fontId="7" fillId="0" borderId="33" xfId="0" applyFont="1" applyFill="1" applyBorder="1" applyAlignment="1">
      <alignment horizontal="center"/>
    </xf>
    <xf numFmtId="164" fontId="7" fillId="0" borderId="0" xfId="0" applyNumberFormat="1" applyFont="1" applyAlignment="1">
      <alignment textRotation="90"/>
    </xf>
    <xf numFmtId="164" fontId="2" fillId="0" borderId="4" xfId="0" applyNumberFormat="1" applyFont="1" applyBorder="1"/>
    <xf numFmtId="164" fontId="7" fillId="0" borderId="32" xfId="0" applyNumberFormat="1" applyFont="1" applyBorder="1" applyAlignment="1">
      <alignment horizontal="center"/>
    </xf>
    <xf numFmtId="0" fontId="7" fillId="0" borderId="4" xfId="0" applyFont="1" applyBorder="1" applyAlignment="1">
      <alignment horizontal="center"/>
    </xf>
    <xf numFmtId="0" fontId="2" fillId="0" borderId="35" xfId="0" applyFont="1" applyBorder="1" applyAlignment="1">
      <alignment horizontal="center"/>
    </xf>
    <xf numFmtId="0" fontId="2" fillId="0" borderId="31" xfId="0" applyFont="1" applyBorder="1" applyAlignment="1">
      <alignment horizontal="center"/>
    </xf>
    <xf numFmtId="0" fontId="7" fillId="0" borderId="35" xfId="0" applyFont="1" applyBorder="1" applyAlignment="1"/>
    <xf numFmtId="0" fontId="7" fillId="0" borderId="35" xfId="0" applyFont="1" applyBorder="1" applyAlignment="1">
      <alignment horizontal="center"/>
    </xf>
    <xf numFmtId="164" fontId="7" fillId="0" borderId="4" xfId="0" applyNumberFormat="1" applyFont="1" applyBorder="1" applyAlignment="1">
      <alignment horizontal="center" vertical="center" textRotation="90"/>
    </xf>
    <xf numFmtId="0" fontId="0" fillId="0" borderId="7" xfId="0" applyBorder="1" applyAlignment="1">
      <alignment horizontal="center"/>
    </xf>
    <xf numFmtId="0" fontId="0" fillId="0" borderId="10" xfId="0" applyBorder="1" applyAlignment="1">
      <alignment horizontal="center"/>
    </xf>
    <xf numFmtId="0" fontId="1" fillId="0" borderId="0" xfId="0" applyFont="1"/>
    <xf numFmtId="0" fontId="1" fillId="0" borderId="0" xfId="0" applyFont="1" applyAlignment="1">
      <alignment horizontal="center"/>
    </xf>
    <xf numFmtId="164" fontId="1" fillId="0" borderId="0" xfId="0" applyNumberFormat="1" applyFont="1"/>
    <xf numFmtId="164" fontId="1" fillId="0" borderId="0" xfId="0" applyNumberFormat="1" applyFont="1" applyAlignment="1">
      <alignment horizontal="center"/>
    </xf>
    <xf numFmtId="0" fontId="0" fillId="0" borderId="0" xfId="0" applyAlignment="1">
      <alignment horizontal="right"/>
    </xf>
    <xf numFmtId="0" fontId="1" fillId="0" borderId="0" xfId="0" applyFont="1" applyAlignment="1">
      <alignment horizontal="right"/>
    </xf>
    <xf numFmtId="0" fontId="0" fillId="0" borderId="20" xfId="0" applyBorder="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Alignment="1">
      <alignment horizontal="center"/>
    </xf>
    <xf numFmtId="10" fontId="0" fillId="0" borderId="0" xfId="0" applyNumberFormat="1" applyAlignment="1">
      <alignment horizontal="center"/>
    </xf>
    <xf numFmtId="164" fontId="1" fillId="0" borderId="0" xfId="0" applyNumberFormat="1" applyFont="1" applyAlignment="1">
      <alignment horizontal="right"/>
    </xf>
    <xf numFmtId="1" fontId="0" fillId="0" borderId="0" xfId="0" applyNumberFormat="1" applyAlignment="1">
      <alignment horizontal="center"/>
    </xf>
    <xf numFmtId="164" fontId="0" fillId="0" borderId="20" xfId="0" applyNumberFormat="1" applyBorder="1"/>
    <xf numFmtId="164" fontId="0" fillId="0" borderId="22" xfId="0" applyNumberFormat="1" applyBorder="1"/>
    <xf numFmtId="164" fontId="0" fillId="0" borderId="9" xfId="0" applyNumberFormat="1" applyBorder="1"/>
    <xf numFmtId="164" fontId="0" fillId="2" borderId="5" xfId="0" applyNumberFormat="1" applyFont="1" applyFill="1" applyBorder="1" applyAlignment="1">
      <alignment horizontal="center"/>
    </xf>
    <xf numFmtId="164" fontId="0" fillId="2" borderId="18" xfId="0" applyNumberFormat="1" applyFont="1" applyFill="1" applyBorder="1" applyAlignment="1">
      <alignment horizontal="center"/>
    </xf>
    <xf numFmtId="164" fontId="0" fillId="2" borderId="43" xfId="0" applyNumberFormat="1" applyFont="1" applyFill="1" applyBorder="1" applyAlignment="1">
      <alignment horizontal="center"/>
    </xf>
    <xf numFmtId="164" fontId="0" fillId="2" borderId="19" xfId="0" applyNumberFormat="1" applyFont="1" applyFill="1" applyBorder="1" applyAlignment="1">
      <alignment horizontal="center"/>
    </xf>
    <xf numFmtId="164" fontId="0" fillId="2" borderId="21" xfId="0" applyNumberFormat="1" applyFont="1" applyFill="1" applyBorder="1" applyAlignment="1">
      <alignment horizontal="center"/>
    </xf>
    <xf numFmtId="164" fontId="0" fillId="2" borderId="45" xfId="0" applyNumberFormat="1" applyFont="1" applyFill="1" applyBorder="1" applyAlignment="1">
      <alignment horizontal="center"/>
    </xf>
    <xf numFmtId="164" fontId="0" fillId="2" borderId="7" xfId="0" applyNumberFormat="1" applyFont="1" applyFill="1" applyBorder="1" applyAlignment="1">
      <alignment horizontal="center"/>
    </xf>
    <xf numFmtId="164" fontId="0" fillId="2" borderId="22" xfId="0" applyNumberFormat="1" applyFont="1" applyFill="1" applyBorder="1" applyAlignment="1">
      <alignment horizontal="center"/>
    </xf>
    <xf numFmtId="0" fontId="0" fillId="0" borderId="28" xfId="0" applyBorder="1"/>
    <xf numFmtId="164" fontId="1" fillId="2" borderId="6" xfId="0" applyNumberFormat="1" applyFont="1" applyFill="1" applyBorder="1"/>
    <xf numFmtId="164" fontId="1" fillId="0" borderId="6" xfId="0" applyNumberFormat="1" applyFont="1" applyBorder="1"/>
    <xf numFmtId="164" fontId="1" fillId="2" borderId="7" xfId="0" applyNumberFormat="1" applyFont="1" applyFill="1" applyBorder="1"/>
    <xf numFmtId="164" fontId="0" fillId="2" borderId="20" xfId="0" applyNumberFormat="1" applyFill="1" applyBorder="1"/>
    <xf numFmtId="164" fontId="0" fillId="2" borderId="22" xfId="0" applyNumberFormat="1" applyFill="1" applyBorder="1"/>
    <xf numFmtId="0" fontId="0" fillId="0" borderId="9" xfId="0" applyBorder="1"/>
    <xf numFmtId="164" fontId="0" fillId="2" borderId="9" xfId="0" applyNumberFormat="1" applyFill="1" applyBorder="1"/>
    <xf numFmtId="164" fontId="0" fillId="2" borderId="10" xfId="0" applyNumberFormat="1" applyFill="1" applyBorder="1"/>
    <xf numFmtId="0" fontId="0" fillId="0" borderId="39" xfId="0" applyBorder="1"/>
    <xf numFmtId="0" fontId="0" fillId="0" borderId="23" xfId="0" applyBorder="1"/>
    <xf numFmtId="0" fontId="0" fillId="0" borderId="48" xfId="0" applyBorder="1"/>
    <xf numFmtId="164" fontId="1" fillId="2" borderId="31" xfId="0" applyNumberFormat="1" applyFont="1" applyFill="1" applyBorder="1"/>
    <xf numFmtId="0" fontId="0" fillId="0" borderId="6" xfId="0" applyBorder="1"/>
    <xf numFmtId="164" fontId="0" fillId="0" borderId="6" xfId="0" applyNumberFormat="1" applyBorder="1"/>
    <xf numFmtId="164" fontId="0" fillId="2" borderId="6" xfId="0" applyNumberFormat="1" applyFill="1" applyBorder="1"/>
    <xf numFmtId="164" fontId="0" fillId="2" borderId="7" xfId="0" applyNumberFormat="1" applyFill="1" applyBorder="1"/>
    <xf numFmtId="1" fontId="0" fillId="2" borderId="20" xfId="0" applyNumberFormat="1" applyFill="1" applyBorder="1"/>
    <xf numFmtId="1" fontId="0" fillId="2" borderId="9" xfId="0" applyNumberFormat="1" applyFill="1" applyBorder="1"/>
    <xf numFmtId="164" fontId="1" fillId="0" borderId="2" xfId="0" applyNumberFormat="1" applyFont="1" applyBorder="1"/>
    <xf numFmtId="164" fontId="0" fillId="0" borderId="0" xfId="0" applyNumberFormat="1" applyBorder="1"/>
    <xf numFmtId="164" fontId="0" fillId="0" borderId="11" xfId="0" applyNumberFormat="1" applyBorder="1"/>
    <xf numFmtId="0" fontId="0" fillId="0" borderId="18" xfId="0" applyBorder="1"/>
    <xf numFmtId="0" fontId="0" fillId="0" borderId="25" xfId="0" applyBorder="1"/>
    <xf numFmtId="0" fontId="0" fillId="0" borderId="49" xfId="0" applyBorder="1"/>
    <xf numFmtId="0" fontId="0" fillId="0" borderId="50" xfId="0" applyBorder="1"/>
    <xf numFmtId="6" fontId="0" fillId="0" borderId="6" xfId="0" applyNumberFormat="1" applyBorder="1" applyAlignment="1">
      <alignment horizontal="center"/>
    </xf>
    <xf numFmtId="164" fontId="0" fillId="0" borderId="22" xfId="0" applyNumberFormat="1" applyBorder="1" applyAlignment="1">
      <alignment horizontal="left"/>
    </xf>
    <xf numFmtId="9" fontId="0" fillId="0" borderId="20" xfId="0" applyNumberFormat="1" applyBorder="1" applyAlignment="1">
      <alignment horizontal="center"/>
    </xf>
    <xf numFmtId="0" fontId="0" fillId="0" borderId="22" xfId="0" applyBorder="1"/>
    <xf numFmtId="1" fontId="0" fillId="2" borderId="20" xfId="0" applyNumberFormat="1" applyFill="1" applyBorder="1" applyAlignment="1">
      <alignment horizontal="center"/>
    </xf>
    <xf numFmtId="2" fontId="0" fillId="2" borderId="22" xfId="0" applyNumberFormat="1" applyFill="1" applyBorder="1"/>
    <xf numFmtId="3" fontId="0" fillId="0" borderId="20" xfId="0" applyNumberFormat="1" applyBorder="1" applyAlignment="1">
      <alignment horizontal="center"/>
    </xf>
    <xf numFmtId="2" fontId="0" fillId="0" borderId="20" xfId="0" applyNumberFormat="1" applyBorder="1" applyAlignment="1">
      <alignment horizontal="center"/>
    </xf>
    <xf numFmtId="1" fontId="0" fillId="2" borderId="9" xfId="0" applyNumberFormat="1" applyFill="1" applyBorder="1" applyAlignment="1">
      <alignment horizontal="center"/>
    </xf>
    <xf numFmtId="2" fontId="0" fillId="2" borderId="10" xfId="0" applyNumberFormat="1" applyFill="1" applyBorder="1"/>
    <xf numFmtId="0" fontId="12" fillId="3" borderId="0" xfId="0" applyFont="1" applyFill="1" applyAlignment="1">
      <alignment horizontal="right"/>
    </xf>
    <xf numFmtId="0" fontId="12" fillId="3" borderId="39" xfId="0" applyFont="1" applyFill="1" applyBorder="1" applyAlignment="1">
      <alignment horizontal="center"/>
    </xf>
    <xf numFmtId="0" fontId="12" fillId="3" borderId="40" xfId="0" applyFont="1" applyFill="1" applyBorder="1" applyAlignment="1">
      <alignment horizontal="center"/>
    </xf>
    <xf numFmtId="0" fontId="12" fillId="3" borderId="44" xfId="0" applyFont="1" applyFill="1" applyBorder="1" applyAlignment="1">
      <alignment horizontal="center"/>
    </xf>
    <xf numFmtId="0" fontId="12" fillId="3" borderId="47" xfId="0" applyFont="1" applyFill="1" applyBorder="1" applyAlignment="1">
      <alignment horizontal="center"/>
    </xf>
    <xf numFmtId="164" fontId="13" fillId="3" borderId="42" xfId="0" applyNumberFormat="1" applyFont="1" applyFill="1" applyBorder="1"/>
    <xf numFmtId="164" fontId="12" fillId="3" borderId="41" xfId="0" applyNumberFormat="1" applyFont="1" applyFill="1" applyBorder="1" applyAlignment="1">
      <alignment horizontal="right"/>
    </xf>
    <xf numFmtId="0" fontId="12" fillId="3" borderId="37" xfId="0" applyFont="1" applyFill="1" applyBorder="1" applyAlignment="1">
      <alignment horizontal="right"/>
    </xf>
    <xf numFmtId="164" fontId="12" fillId="3" borderId="30" xfId="0" applyNumberFormat="1" applyFont="1" applyFill="1" applyBorder="1" applyAlignment="1">
      <alignment horizontal="center"/>
    </xf>
    <xf numFmtId="1" fontId="13" fillId="3" borderId="26" xfId="0" applyNumberFormat="1" applyFont="1" applyFill="1" applyBorder="1"/>
    <xf numFmtId="164" fontId="12" fillId="3" borderId="30" xfId="0" applyNumberFormat="1" applyFont="1" applyFill="1" applyBorder="1"/>
    <xf numFmtId="0" fontId="12" fillId="3" borderId="5" xfId="0" applyFont="1" applyFill="1" applyBorder="1"/>
    <xf numFmtId="0" fontId="12" fillId="3" borderId="6" xfId="0" applyFont="1" applyFill="1" applyBorder="1"/>
    <xf numFmtId="164" fontId="12" fillId="3" borderId="6" xfId="0" applyNumberFormat="1" applyFont="1" applyFill="1" applyBorder="1" applyAlignment="1">
      <alignment horizontal="center"/>
    </xf>
    <xf numFmtId="164" fontId="12" fillId="3" borderId="31" xfId="0" applyNumberFormat="1" applyFont="1" applyFill="1" applyBorder="1"/>
    <xf numFmtId="164" fontId="12" fillId="3" borderId="7" xfId="0" applyNumberFormat="1" applyFont="1" applyFill="1" applyBorder="1"/>
    <xf numFmtId="164" fontId="12" fillId="3" borderId="0" xfId="0" applyNumberFormat="1" applyFont="1" applyFill="1" applyBorder="1" applyAlignment="1">
      <alignment horizontal="center"/>
    </xf>
    <xf numFmtId="164" fontId="12" fillId="3" borderId="11" xfId="0" applyNumberFormat="1" applyFont="1" applyFill="1" applyBorder="1" applyAlignment="1">
      <alignment horizontal="center"/>
    </xf>
    <xf numFmtId="0" fontId="13" fillId="3" borderId="5" xfId="0" applyFont="1" applyFill="1" applyBorder="1"/>
    <xf numFmtId="0" fontId="13" fillId="3" borderId="6" xfId="0" applyFont="1" applyFill="1" applyBorder="1" applyAlignment="1">
      <alignment horizontal="right"/>
    </xf>
    <xf numFmtId="0" fontId="13" fillId="3" borderId="19" xfId="0" applyFont="1" applyFill="1" applyBorder="1"/>
    <xf numFmtId="0" fontId="13" fillId="3" borderId="20" xfId="0" applyFont="1" applyFill="1" applyBorder="1" applyAlignment="1">
      <alignment horizontal="right"/>
    </xf>
    <xf numFmtId="0" fontId="13" fillId="3" borderId="8" xfId="0" applyFont="1" applyFill="1" applyBorder="1"/>
    <xf numFmtId="0" fontId="13" fillId="3" borderId="9" xfId="0" applyFont="1" applyFill="1" applyBorder="1" applyAlignment="1">
      <alignment horizontal="right"/>
    </xf>
    <xf numFmtId="164" fontId="12" fillId="3" borderId="32" xfId="0" applyNumberFormat="1" applyFont="1" applyFill="1" applyBorder="1" applyAlignment="1">
      <alignment horizontal="center"/>
    </xf>
    <xf numFmtId="164" fontId="12" fillId="3" borderId="42" xfId="0" applyNumberFormat="1" applyFont="1" applyFill="1" applyBorder="1" applyAlignment="1">
      <alignment horizontal="right"/>
    </xf>
    <xf numFmtId="164" fontId="12" fillId="3" borderId="36" xfId="0" applyNumberFormat="1" applyFont="1" applyFill="1" applyBorder="1" applyAlignment="1">
      <alignment horizontal="right"/>
    </xf>
    <xf numFmtId="164" fontId="0" fillId="2" borderId="8" xfId="0" applyNumberFormat="1" applyFont="1" applyFill="1" applyBorder="1" applyAlignment="1">
      <alignment horizontal="center"/>
    </xf>
    <xf numFmtId="164" fontId="0" fillId="2" borderId="25" xfId="0" applyNumberFormat="1" applyFont="1" applyFill="1" applyBorder="1" applyAlignment="1">
      <alignment horizontal="center"/>
    </xf>
    <xf numFmtId="164" fontId="0" fillId="2" borderId="10" xfId="0" applyNumberFormat="1" applyFont="1" applyFill="1" applyBorder="1" applyAlignment="1">
      <alignment horizontal="center"/>
    </xf>
    <xf numFmtId="164" fontId="0" fillId="2" borderId="46" xfId="0" applyNumberFormat="1" applyFont="1" applyFill="1" applyBorder="1" applyAlignment="1">
      <alignment horizontal="center"/>
    </xf>
    <xf numFmtId="0" fontId="12" fillId="3" borderId="28" xfId="0" applyFont="1" applyFill="1" applyBorder="1" applyAlignment="1">
      <alignment horizontal="right"/>
    </xf>
    <xf numFmtId="164" fontId="0" fillId="2" borderId="23" xfId="0" applyNumberFormat="1" applyFont="1" applyFill="1" applyBorder="1" applyAlignment="1">
      <alignment horizontal="center"/>
    </xf>
    <xf numFmtId="164" fontId="0" fillId="2" borderId="50" xfId="0" applyNumberFormat="1" applyFont="1" applyFill="1" applyBorder="1" applyAlignment="1">
      <alignment horizontal="center"/>
    </xf>
    <xf numFmtId="164" fontId="0" fillId="2" borderId="51" xfId="0" applyNumberFormat="1" applyFont="1" applyFill="1" applyBorder="1" applyAlignment="1">
      <alignment horizontal="center"/>
    </xf>
    <xf numFmtId="164" fontId="0" fillId="2" borderId="52" xfId="0" applyNumberFormat="1" applyFont="1" applyFill="1" applyBorder="1" applyAlignment="1">
      <alignment horizontal="center"/>
    </xf>
    <xf numFmtId="164" fontId="12" fillId="3" borderId="12" xfId="0" applyNumberFormat="1" applyFont="1" applyFill="1" applyBorder="1" applyAlignment="1">
      <alignment horizontal="right"/>
    </xf>
    <xf numFmtId="10" fontId="0" fillId="2" borderId="48" xfId="0" applyNumberFormat="1" applyFont="1" applyFill="1" applyBorder="1" applyAlignment="1">
      <alignment horizontal="center"/>
    </xf>
    <xf numFmtId="10" fontId="0" fillId="2" borderId="13" xfId="0" applyNumberFormat="1" applyFont="1" applyFill="1" applyBorder="1" applyAlignment="1">
      <alignment horizontal="center"/>
    </xf>
    <xf numFmtId="10" fontId="0" fillId="2" borderId="17" xfId="0" applyNumberFormat="1" applyFont="1" applyFill="1" applyBorder="1" applyAlignment="1">
      <alignment horizontal="center"/>
    </xf>
    <xf numFmtId="10" fontId="0" fillId="2" borderId="53" xfId="0" applyNumberFormat="1" applyFont="1" applyFill="1" applyBorder="1" applyAlignment="1">
      <alignment horizontal="center"/>
    </xf>
    <xf numFmtId="0" fontId="12" fillId="3" borderId="36" xfId="0" applyFont="1" applyFill="1" applyBorder="1" applyAlignment="1">
      <alignment horizontal="right"/>
    </xf>
    <xf numFmtId="0" fontId="12" fillId="3" borderId="38" xfId="0" applyFont="1" applyFill="1" applyBorder="1" applyAlignment="1">
      <alignment horizontal="right"/>
    </xf>
    <xf numFmtId="0" fontId="15" fillId="3" borderId="37" xfId="0" applyFont="1" applyFill="1" applyBorder="1" applyAlignment="1">
      <alignment horizontal="right"/>
    </xf>
    <xf numFmtId="0" fontId="15" fillId="3" borderId="38" xfId="0" applyFont="1" applyFill="1" applyBorder="1" applyAlignment="1">
      <alignment horizontal="right"/>
    </xf>
    <xf numFmtId="164" fontId="0" fillId="2" borderId="54" xfId="0" applyNumberFormat="1" applyFont="1" applyFill="1" applyBorder="1" applyAlignment="1">
      <alignment horizontal="center"/>
    </xf>
    <xf numFmtId="164" fontId="0" fillId="2" borderId="49" xfId="0" applyNumberFormat="1" applyFont="1" applyFill="1" applyBorder="1" applyAlignment="1">
      <alignment horizontal="center"/>
    </xf>
    <xf numFmtId="164" fontId="0" fillId="2" borderId="55" xfId="0" applyNumberFormat="1" applyFont="1" applyFill="1" applyBorder="1" applyAlignment="1">
      <alignment horizontal="center"/>
    </xf>
    <xf numFmtId="164" fontId="0" fillId="2" borderId="56" xfId="0" applyNumberFormat="1" applyFont="1" applyFill="1" applyBorder="1" applyAlignment="1">
      <alignment horizontal="center"/>
    </xf>
    <xf numFmtId="164" fontId="0" fillId="2" borderId="14" xfId="0" applyNumberFormat="1" applyFont="1" applyFill="1" applyBorder="1" applyAlignment="1">
      <alignment horizontal="center"/>
    </xf>
    <xf numFmtId="164" fontId="0" fillId="2" borderId="29" xfId="0" applyNumberFormat="1" applyFont="1" applyFill="1" applyBorder="1" applyAlignment="1">
      <alignment horizontal="center"/>
    </xf>
    <xf numFmtId="164" fontId="0" fillId="2" borderId="16" xfId="0" applyNumberFormat="1" applyFont="1" applyFill="1" applyBorder="1" applyAlignment="1">
      <alignment horizontal="center"/>
    </xf>
    <xf numFmtId="164" fontId="0" fillId="2" borderId="27" xfId="0" applyNumberFormat="1" applyFont="1" applyFill="1" applyBorder="1" applyAlignment="1">
      <alignment horizontal="center"/>
    </xf>
    <xf numFmtId="10" fontId="0" fillId="2" borderId="16" xfId="0" applyNumberFormat="1" applyFont="1" applyFill="1" applyBorder="1" applyAlignment="1">
      <alignment horizontal="center"/>
    </xf>
    <xf numFmtId="2" fontId="0" fillId="0" borderId="29" xfId="0" applyNumberFormat="1" applyBorder="1"/>
    <xf numFmtId="2" fontId="1" fillId="0" borderId="6" xfId="0" applyNumberFormat="1" applyFont="1" applyBorder="1"/>
    <xf numFmtId="164" fontId="17" fillId="3" borderId="42" xfId="0" applyNumberFormat="1" applyFont="1" applyFill="1" applyBorder="1"/>
    <xf numFmtId="0" fontId="16" fillId="3" borderId="5" xfId="0" applyFont="1" applyFill="1" applyBorder="1" applyAlignment="1">
      <alignment horizontal="center"/>
    </xf>
    <xf numFmtId="0" fontId="16" fillId="3" borderId="43" xfId="0" applyFont="1" applyFill="1" applyBorder="1" applyAlignment="1">
      <alignment horizontal="center"/>
    </xf>
    <xf numFmtId="6" fontId="2" fillId="0" borderId="6" xfId="0" applyNumberFormat="1" applyFont="1" applyBorder="1" applyAlignment="1">
      <alignment horizontal="center"/>
    </xf>
    <xf numFmtId="164" fontId="2" fillId="0" borderId="7" xfId="0" applyNumberFormat="1" applyFont="1" applyBorder="1"/>
    <xf numFmtId="164" fontId="16" fillId="3" borderId="32" xfId="0" applyNumberFormat="1" applyFont="1" applyFill="1" applyBorder="1" applyAlignment="1">
      <alignment horizontal="center"/>
    </xf>
    <xf numFmtId="0" fontId="16" fillId="3" borderId="39" xfId="0" applyFont="1" applyFill="1" applyBorder="1" applyAlignment="1">
      <alignment horizontal="center"/>
    </xf>
    <xf numFmtId="0" fontId="16" fillId="3" borderId="44" xfId="0" applyFont="1" applyFill="1" applyBorder="1" applyAlignment="1">
      <alignment horizontal="center"/>
    </xf>
    <xf numFmtId="164" fontId="2" fillId="0" borderId="20" xfId="0" applyNumberFormat="1" applyFont="1" applyBorder="1" applyAlignment="1">
      <alignment horizontal="center"/>
    </xf>
    <xf numFmtId="164" fontId="2" fillId="0" borderId="22" xfId="0" applyNumberFormat="1" applyFont="1" applyBorder="1" applyAlignment="1">
      <alignment horizontal="left"/>
    </xf>
    <xf numFmtId="164" fontId="16" fillId="3" borderId="41" xfId="0" applyNumberFormat="1" applyFont="1" applyFill="1" applyBorder="1" applyAlignment="1">
      <alignment horizontal="right"/>
    </xf>
    <xf numFmtId="164" fontId="2" fillId="2" borderId="54" xfId="0" applyNumberFormat="1" applyFont="1" applyFill="1" applyBorder="1" applyAlignment="1">
      <alignment horizontal="center"/>
    </xf>
    <xf numFmtId="164" fontId="2" fillId="2" borderId="56" xfId="0" applyNumberFormat="1" applyFont="1" applyFill="1" applyBorder="1" applyAlignment="1">
      <alignment horizontal="center"/>
    </xf>
    <xf numFmtId="164" fontId="2" fillId="0" borderId="22" xfId="0" applyNumberFormat="1" applyFont="1" applyBorder="1"/>
    <xf numFmtId="164" fontId="16" fillId="3" borderId="42" xfId="0" applyNumberFormat="1" applyFont="1" applyFill="1" applyBorder="1" applyAlignment="1">
      <alignment horizontal="right"/>
    </xf>
    <xf numFmtId="164" fontId="2" fillId="2" borderId="14" xfId="0" applyNumberFormat="1" applyFont="1" applyFill="1" applyBorder="1" applyAlignment="1">
      <alignment horizontal="center"/>
    </xf>
    <xf numFmtId="164" fontId="7" fillId="2" borderId="14" xfId="0" applyNumberFormat="1" applyFont="1" applyFill="1" applyBorder="1" applyAlignment="1">
      <alignment horizontal="center"/>
    </xf>
    <xf numFmtId="164" fontId="2" fillId="2" borderId="27" xfId="0" applyNumberFormat="1" applyFont="1" applyFill="1" applyBorder="1" applyAlignment="1">
      <alignment horizontal="center"/>
    </xf>
    <xf numFmtId="164" fontId="2" fillId="0" borderId="0" xfId="0" applyNumberFormat="1" applyFont="1" applyAlignment="1">
      <alignment horizontal="center"/>
    </xf>
    <xf numFmtId="164" fontId="16" fillId="3" borderId="36" xfId="0" applyNumberFormat="1" applyFont="1" applyFill="1" applyBorder="1" applyAlignment="1">
      <alignment horizontal="right"/>
    </xf>
    <xf numFmtId="164" fontId="2" fillId="2" borderId="5" xfId="0" applyNumberFormat="1" applyFont="1" applyFill="1" applyBorder="1" applyAlignment="1">
      <alignment horizontal="center"/>
    </xf>
    <xf numFmtId="164" fontId="7" fillId="2" borderId="5" xfId="0" applyNumberFormat="1" applyFont="1" applyFill="1" applyBorder="1" applyAlignment="1">
      <alignment horizontal="center"/>
    </xf>
    <xf numFmtId="164" fontId="2" fillId="2" borderId="43" xfId="0" applyNumberFormat="1" applyFont="1" applyFill="1" applyBorder="1" applyAlignment="1">
      <alignment horizontal="center"/>
    </xf>
    <xf numFmtId="0" fontId="17" fillId="3" borderId="37" xfId="0" applyFont="1" applyFill="1" applyBorder="1" applyAlignment="1">
      <alignment horizontal="right"/>
    </xf>
    <xf numFmtId="164" fontId="2" fillId="2" borderId="19" xfId="0" applyNumberFormat="1" applyFont="1" applyFill="1" applyBorder="1" applyAlignment="1">
      <alignment horizontal="center"/>
    </xf>
    <xf numFmtId="164" fontId="2" fillId="2" borderId="45" xfId="0" applyNumberFormat="1" applyFont="1" applyFill="1" applyBorder="1" applyAlignment="1">
      <alignment horizontal="center"/>
    </xf>
    <xf numFmtId="9" fontId="2" fillId="0" borderId="20" xfId="0" applyNumberFormat="1" applyFont="1" applyBorder="1" applyAlignment="1">
      <alignment horizontal="center"/>
    </xf>
    <xf numFmtId="0" fontId="2" fillId="0" borderId="22" xfId="0" applyFont="1" applyBorder="1"/>
    <xf numFmtId="1" fontId="2" fillId="2" borderId="20" xfId="0" applyNumberFormat="1" applyFont="1" applyFill="1" applyBorder="1" applyAlignment="1">
      <alignment horizontal="center"/>
    </xf>
    <xf numFmtId="2" fontId="2" fillId="2" borderId="22" xfId="0" applyNumberFormat="1" applyFont="1" applyFill="1" applyBorder="1"/>
    <xf numFmtId="0" fontId="17" fillId="3" borderId="38" xfId="0" applyFont="1" applyFill="1" applyBorder="1" applyAlignment="1">
      <alignment horizontal="right"/>
    </xf>
    <xf numFmtId="164" fontId="2" fillId="2" borderId="8" xfId="0" applyNumberFormat="1" applyFont="1" applyFill="1" applyBorder="1" applyAlignment="1">
      <alignment horizontal="center"/>
    </xf>
    <xf numFmtId="164" fontId="2" fillId="2" borderId="46" xfId="0" applyNumberFormat="1" applyFont="1" applyFill="1" applyBorder="1" applyAlignment="1">
      <alignment horizontal="center"/>
    </xf>
    <xf numFmtId="3" fontId="2" fillId="0" borderId="20" xfId="0" applyNumberFormat="1" applyFont="1" applyBorder="1" applyAlignment="1">
      <alignment horizontal="center"/>
    </xf>
    <xf numFmtId="0" fontId="16" fillId="3" borderId="28" xfId="0" applyFont="1" applyFill="1" applyBorder="1" applyAlignment="1">
      <alignment horizontal="right"/>
    </xf>
    <xf numFmtId="164" fontId="2" fillId="2" borderId="23" xfId="0" applyNumberFormat="1" applyFont="1" applyFill="1" applyBorder="1" applyAlignment="1">
      <alignment horizontal="center"/>
    </xf>
    <xf numFmtId="164" fontId="2" fillId="2" borderId="52" xfId="0" applyNumberFormat="1" applyFont="1" applyFill="1" applyBorder="1" applyAlignment="1">
      <alignment horizontal="center"/>
    </xf>
    <xf numFmtId="2" fontId="2" fillId="0" borderId="20" xfId="0" applyNumberFormat="1" applyFont="1" applyBorder="1" applyAlignment="1">
      <alignment horizontal="center"/>
    </xf>
    <xf numFmtId="0" fontId="16" fillId="3" borderId="36" xfId="0" applyFont="1" applyFill="1" applyBorder="1" applyAlignment="1">
      <alignment horizontal="right"/>
    </xf>
    <xf numFmtId="0" fontId="16" fillId="3" borderId="37" xfId="0" applyFont="1" applyFill="1" applyBorder="1" applyAlignment="1">
      <alignment horizontal="right"/>
    </xf>
    <xf numFmtId="0" fontId="2" fillId="0" borderId="20" xfId="0" applyFont="1" applyBorder="1" applyAlignment="1">
      <alignment horizontal="center"/>
    </xf>
    <xf numFmtId="0" fontId="16" fillId="3" borderId="38" xfId="0" applyFont="1" applyFill="1" applyBorder="1" applyAlignment="1">
      <alignment horizontal="right"/>
    </xf>
    <xf numFmtId="164" fontId="16" fillId="3" borderId="12" xfId="0" applyNumberFormat="1" applyFont="1" applyFill="1" applyBorder="1" applyAlignment="1">
      <alignment horizontal="right"/>
    </xf>
    <xf numFmtId="164" fontId="7" fillId="0" borderId="0" xfId="0" applyNumberFormat="1" applyFont="1" applyAlignment="1">
      <alignment horizontal="right"/>
    </xf>
    <xf numFmtId="10" fontId="2" fillId="0" borderId="0" xfId="0" applyNumberFormat="1" applyFont="1" applyAlignment="1">
      <alignment horizontal="center"/>
    </xf>
    <xf numFmtId="164" fontId="7" fillId="2" borderId="31" xfId="0" applyNumberFormat="1" applyFont="1" applyFill="1" applyBorder="1" applyAlignment="1">
      <alignment horizontal="right"/>
    </xf>
    <xf numFmtId="0" fontId="16" fillId="3" borderId="5" xfId="0" applyFont="1" applyFill="1" applyBorder="1"/>
    <xf numFmtId="164" fontId="16" fillId="3" borderId="6" xfId="0" applyNumberFormat="1" applyFont="1" applyFill="1" applyBorder="1" applyAlignment="1">
      <alignment horizontal="center"/>
    </xf>
    <xf numFmtId="0" fontId="2" fillId="0" borderId="20" xfId="0" applyFont="1" applyBorder="1"/>
    <xf numFmtId="164" fontId="2" fillId="0" borderId="20" xfId="0" applyNumberFormat="1" applyFont="1" applyBorder="1"/>
    <xf numFmtId="0" fontId="2" fillId="0" borderId="9" xfId="0" applyFont="1" applyBorder="1"/>
    <xf numFmtId="164" fontId="2" fillId="0" borderId="9" xfId="0" applyNumberFormat="1" applyFont="1" applyBorder="1"/>
    <xf numFmtId="0" fontId="2" fillId="0" borderId="0" xfId="0" applyFont="1" applyBorder="1"/>
    <xf numFmtId="0" fontId="2" fillId="0" borderId="49" xfId="0" applyFont="1" applyBorder="1"/>
    <xf numFmtId="164" fontId="2" fillId="0" borderId="0" xfId="0" applyNumberFormat="1" applyFont="1" applyBorder="1"/>
    <xf numFmtId="1" fontId="2" fillId="0" borderId="0" xfId="0" applyNumberFormat="1" applyFont="1" applyAlignment="1">
      <alignment horizontal="center"/>
    </xf>
    <xf numFmtId="0" fontId="2" fillId="0" borderId="21" xfId="0" applyFont="1" applyBorder="1"/>
    <xf numFmtId="0" fontId="2" fillId="0" borderId="25" xfId="0" applyFont="1" applyBorder="1"/>
    <xf numFmtId="0" fontId="2" fillId="0" borderId="50" xfId="0" applyFont="1" applyBorder="1"/>
    <xf numFmtId="1" fontId="2" fillId="2" borderId="20" xfId="0" applyNumberFormat="1" applyFont="1" applyFill="1" applyBorder="1"/>
    <xf numFmtId="1" fontId="2" fillId="2" borderId="9" xfId="0" applyNumberFormat="1" applyFont="1" applyFill="1" applyBorder="1"/>
    <xf numFmtId="164" fontId="16" fillId="3" borderId="0" xfId="0" applyNumberFormat="1" applyFont="1" applyFill="1" applyBorder="1" applyAlignment="1">
      <alignment horizontal="center"/>
    </xf>
    <xf numFmtId="164" fontId="7" fillId="2" borderId="6" xfId="0" applyNumberFormat="1" applyFont="1" applyFill="1" applyBorder="1"/>
    <xf numFmtId="164" fontId="2" fillId="2" borderId="20" xfId="0" applyNumberFormat="1" applyFont="1" applyFill="1" applyBorder="1"/>
    <xf numFmtId="2" fontId="2" fillId="0" borderId="9" xfId="0" applyNumberFormat="1" applyFont="1" applyBorder="1"/>
    <xf numFmtId="164" fontId="2" fillId="2" borderId="9" xfId="0" applyNumberFormat="1" applyFont="1" applyFill="1" applyBorder="1"/>
    <xf numFmtId="2" fontId="2" fillId="0" borderId="29" xfId="0" applyNumberFormat="1" applyFont="1" applyBorder="1"/>
    <xf numFmtId="2" fontId="2" fillId="0" borderId="20" xfId="0" applyNumberFormat="1" applyFont="1" applyBorder="1"/>
    <xf numFmtId="0" fontId="17" fillId="3" borderId="45" xfId="0" applyFont="1" applyFill="1" applyBorder="1" applyAlignment="1">
      <alignment horizontal="right"/>
    </xf>
    <xf numFmtId="0" fontId="16" fillId="3" borderId="12" xfId="0" applyFont="1" applyFill="1" applyBorder="1" applyAlignment="1">
      <alignment horizontal="right"/>
    </xf>
    <xf numFmtId="164" fontId="2" fillId="2" borderId="48" xfId="0" applyNumberFormat="1" applyFont="1" applyFill="1" applyBorder="1" applyAlignment="1">
      <alignment horizontal="center"/>
    </xf>
    <xf numFmtId="164" fontId="2" fillId="2" borderId="53" xfId="0" applyNumberFormat="1" applyFont="1" applyFill="1" applyBorder="1" applyAlignment="1">
      <alignment horizontal="center"/>
    </xf>
    <xf numFmtId="0" fontId="17" fillId="0" borderId="0" xfId="0" applyFont="1" applyFill="1" applyBorder="1"/>
    <xf numFmtId="0" fontId="17" fillId="0" borderId="0" xfId="0" applyFont="1" applyFill="1" applyBorder="1" applyAlignment="1">
      <alignment horizontal="right"/>
    </xf>
    <xf numFmtId="1" fontId="2" fillId="0" borderId="0" xfId="0" applyNumberFormat="1" applyFont="1" applyFill="1" applyBorder="1" applyAlignment="1">
      <alignment horizontal="center"/>
    </xf>
    <xf numFmtId="2" fontId="2" fillId="0" borderId="0" xfId="0" applyNumberFormat="1" applyFont="1" applyFill="1" applyBorder="1"/>
    <xf numFmtId="0" fontId="16" fillId="3" borderId="13" xfId="0" applyFont="1" applyFill="1" applyBorder="1" applyAlignment="1">
      <alignment horizontal="right"/>
    </xf>
    <xf numFmtId="0" fontId="17" fillId="3" borderId="36" xfId="0" applyFont="1" applyFill="1" applyBorder="1"/>
    <xf numFmtId="0" fontId="17" fillId="3" borderId="43" xfId="0" applyFont="1" applyFill="1" applyBorder="1" applyAlignment="1">
      <alignment horizontal="right"/>
    </xf>
    <xf numFmtId="0" fontId="17" fillId="3" borderId="37" xfId="0" applyFont="1" applyFill="1" applyBorder="1"/>
    <xf numFmtId="0" fontId="2" fillId="0" borderId="0" xfId="0" applyFont="1" applyAlignment="1">
      <alignment horizontal="left"/>
    </xf>
    <xf numFmtId="164" fontId="2" fillId="2" borderId="22" xfId="0" applyNumberFormat="1" applyFont="1" applyFill="1" applyBorder="1"/>
    <xf numFmtId="164" fontId="2" fillId="2" borderId="10" xfId="0" applyNumberFormat="1" applyFont="1" applyFill="1" applyBorder="1"/>
    <xf numFmtId="164" fontId="2" fillId="0" borderId="11" xfId="0" applyNumberFormat="1" applyFont="1" applyBorder="1"/>
    <xf numFmtId="164" fontId="7" fillId="2" borderId="7" xfId="0" applyNumberFormat="1" applyFont="1" applyFill="1" applyBorder="1"/>
    <xf numFmtId="164" fontId="16" fillId="3" borderId="11" xfId="0" applyNumberFormat="1" applyFont="1" applyFill="1" applyBorder="1" applyAlignment="1">
      <alignment horizontal="center"/>
    </xf>
    <xf numFmtId="0" fontId="16" fillId="3" borderId="57" xfId="0" applyFont="1" applyFill="1" applyBorder="1" applyAlignment="1">
      <alignment horizontal="center"/>
    </xf>
    <xf numFmtId="0" fontId="16" fillId="3" borderId="58" xfId="0" applyFont="1" applyFill="1" applyBorder="1" applyAlignment="1">
      <alignment horizontal="center"/>
    </xf>
    <xf numFmtId="164" fontId="2" fillId="2" borderId="33" xfId="0" applyNumberFormat="1" applyFont="1" applyFill="1" applyBorder="1" applyAlignment="1">
      <alignment horizontal="center"/>
    </xf>
    <xf numFmtId="164" fontId="2" fillId="2" borderId="4" xfId="0" applyNumberFormat="1" applyFont="1" applyFill="1" applyBorder="1" applyAlignment="1">
      <alignment horizontal="center"/>
    </xf>
    <xf numFmtId="164" fontId="2" fillId="2" borderId="59" xfId="0" applyNumberFormat="1" applyFont="1" applyFill="1" applyBorder="1" applyAlignment="1">
      <alignment horizontal="center"/>
    </xf>
    <xf numFmtId="164" fontId="2" fillId="2" borderId="60" xfId="0" applyNumberFormat="1" applyFont="1" applyFill="1" applyBorder="1" applyAlignment="1">
      <alignment horizontal="center"/>
    </xf>
    <xf numFmtId="164" fontId="2" fillId="2" borderId="61" xfId="0" applyNumberFormat="1" applyFont="1" applyFill="1" applyBorder="1" applyAlignment="1">
      <alignment horizontal="center"/>
    </xf>
    <xf numFmtId="164" fontId="2" fillId="2" borderId="35" xfId="0" applyNumberFormat="1" applyFont="1" applyFill="1" applyBorder="1" applyAlignment="1">
      <alignment horizontal="center"/>
    </xf>
    <xf numFmtId="164" fontId="2" fillId="2" borderId="17" xfId="0" applyNumberFormat="1" applyFont="1" applyFill="1" applyBorder="1" applyAlignment="1">
      <alignment horizontal="center"/>
    </xf>
    <xf numFmtId="164" fontId="16" fillId="3" borderId="38" xfId="0" applyNumberFormat="1" applyFont="1" applyFill="1" applyBorder="1" applyAlignment="1">
      <alignment horizontal="right"/>
    </xf>
    <xf numFmtId="0" fontId="16" fillId="3" borderId="26" xfId="0" applyFont="1" applyFill="1" applyBorder="1" applyAlignment="1"/>
    <xf numFmtId="0" fontId="16" fillId="3" borderId="12" xfId="0" applyFont="1" applyFill="1" applyBorder="1" applyAlignment="1"/>
    <xf numFmtId="0" fontId="16" fillId="3" borderId="13" xfId="0" applyFont="1" applyFill="1" applyBorder="1" applyAlignment="1"/>
    <xf numFmtId="164" fontId="16" fillId="3" borderId="26" xfId="0" applyNumberFormat="1" applyFont="1" applyFill="1" applyBorder="1" applyAlignment="1"/>
    <xf numFmtId="164" fontId="16" fillId="3" borderId="30" xfId="0" applyNumberFormat="1" applyFont="1" applyFill="1" applyBorder="1" applyAlignment="1"/>
    <xf numFmtId="164" fontId="16" fillId="3" borderId="31" xfId="0" applyNumberFormat="1" applyFont="1" applyFill="1" applyBorder="1" applyAlignment="1"/>
    <xf numFmtId="0" fontId="16" fillId="3" borderId="1" xfId="0" applyFont="1" applyFill="1" applyBorder="1" applyAlignment="1"/>
    <xf numFmtId="1" fontId="16" fillId="3" borderId="31" xfId="0" applyNumberFormat="1" applyFont="1" applyFill="1" applyBorder="1" applyAlignment="1">
      <alignment horizontal="center"/>
    </xf>
    <xf numFmtId="0" fontId="2" fillId="3" borderId="6" xfId="0" applyFont="1" applyFill="1" applyBorder="1"/>
    <xf numFmtId="164" fontId="2" fillId="3" borderId="6" xfId="0" applyNumberFormat="1" applyFont="1" applyFill="1" applyBorder="1"/>
    <xf numFmtId="0" fontId="7" fillId="3" borderId="6" xfId="0" applyFont="1" applyFill="1" applyBorder="1"/>
    <xf numFmtId="164" fontId="7" fillId="3" borderId="6" xfId="0" applyNumberFormat="1" applyFont="1" applyFill="1" applyBorder="1"/>
    <xf numFmtId="2" fontId="7" fillId="3" borderId="6" xfId="0" applyNumberFormat="1" applyFont="1" applyFill="1" applyBorder="1"/>
    <xf numFmtId="0" fontId="16" fillId="3" borderId="6" xfId="0" applyFont="1" applyFill="1" applyBorder="1" applyAlignment="1">
      <alignment horizontal="center"/>
    </xf>
    <xf numFmtId="0" fontId="2" fillId="0" borderId="28" xfId="0" applyFont="1" applyBorder="1" applyAlignment="1">
      <alignment horizontal="center"/>
    </xf>
    <xf numFmtId="0" fontId="18" fillId="3" borderId="12" xfId="0" applyFont="1" applyFill="1" applyBorder="1" applyAlignment="1">
      <alignment horizontal="right"/>
    </xf>
    <xf numFmtId="10" fontId="2" fillId="2" borderId="29" xfId="0" applyNumberFormat="1" applyFont="1" applyFill="1" applyBorder="1" applyAlignment="1">
      <alignment horizontal="center"/>
    </xf>
    <xf numFmtId="10" fontId="2" fillId="2" borderId="30" xfId="0" applyNumberFormat="1" applyFont="1" applyFill="1" applyBorder="1" applyAlignment="1">
      <alignment horizontal="center"/>
    </xf>
    <xf numFmtId="10" fontId="2" fillId="2" borderId="27" xfId="0" applyNumberFormat="1" applyFont="1" applyFill="1" applyBorder="1" applyAlignment="1">
      <alignment horizontal="center"/>
    </xf>
    <xf numFmtId="10" fontId="2" fillId="2" borderId="14" xfId="0" applyNumberFormat="1" applyFont="1" applyFill="1" applyBorder="1" applyAlignment="1">
      <alignment horizontal="center"/>
    </xf>
    <xf numFmtId="164" fontId="16" fillId="3" borderId="2" xfId="0" applyNumberFormat="1" applyFont="1" applyFill="1" applyBorder="1" applyAlignment="1">
      <alignment horizontal="center"/>
    </xf>
    <xf numFmtId="164" fontId="16" fillId="3" borderId="3" xfId="0" applyNumberFormat="1" applyFont="1" applyFill="1" applyBorder="1" applyAlignment="1">
      <alignment horizontal="center"/>
    </xf>
    <xf numFmtId="1" fontId="16" fillId="3" borderId="31" xfId="0" applyNumberFormat="1" applyFont="1" applyFill="1" applyBorder="1" applyAlignment="1">
      <alignment horizontal="center"/>
    </xf>
    <xf numFmtId="0" fontId="2" fillId="0" borderId="47" xfId="0" applyFont="1" applyBorder="1"/>
    <xf numFmtId="1" fontId="2" fillId="2" borderId="62" xfId="0" applyNumberFormat="1" applyFont="1" applyFill="1" applyBorder="1"/>
    <xf numFmtId="164" fontId="2" fillId="0" borderId="62" xfId="0" applyNumberFormat="1" applyFont="1" applyBorder="1"/>
    <xf numFmtId="164" fontId="2" fillId="2" borderId="40" xfId="0" applyNumberFormat="1" applyFont="1" applyFill="1" applyBorder="1"/>
    <xf numFmtId="0" fontId="2" fillId="0" borderId="62" xfId="0" applyFont="1" applyBorder="1"/>
    <xf numFmtId="166" fontId="2" fillId="0" borderId="20" xfId="0" applyNumberFormat="1" applyFont="1" applyBorder="1"/>
    <xf numFmtId="166" fontId="2" fillId="0" borderId="9" xfId="0" applyNumberFormat="1" applyFont="1" applyBorder="1"/>
    <xf numFmtId="0" fontId="0" fillId="0" borderId="1" xfId="0" applyBorder="1"/>
    <xf numFmtId="0" fontId="0" fillId="0" borderId="2" xfId="0" applyBorder="1" applyAlignment="1">
      <alignment horizontal="center"/>
    </xf>
    <xf numFmtId="0" fontId="0" fillId="0" borderId="16" xfId="0" applyFont="1" applyBorder="1" applyAlignment="1">
      <alignment horizontal="center" vertical="center"/>
    </xf>
    <xf numFmtId="0" fontId="5" fillId="0" borderId="20" xfId="1" applyFont="1" applyBorder="1"/>
    <xf numFmtId="2" fontId="2" fillId="0" borderId="63" xfId="0" applyNumberFormat="1" applyFont="1" applyBorder="1"/>
    <xf numFmtId="164" fontId="16" fillId="3" borderId="6" xfId="0" applyNumberFormat="1" applyFont="1" applyFill="1" applyBorder="1" applyAlignment="1">
      <alignment horizontal="right"/>
    </xf>
    <xf numFmtId="2" fontId="2" fillId="0" borderId="0" xfId="0" applyNumberFormat="1" applyFont="1" applyBorder="1"/>
    <xf numFmtId="10" fontId="2" fillId="2" borderId="4" xfId="0" applyNumberFormat="1" applyFont="1" applyFill="1" applyBorder="1" applyAlignment="1">
      <alignment horizontal="center"/>
    </xf>
    <xf numFmtId="0" fontId="17" fillId="3" borderId="38" xfId="0" applyFont="1" applyFill="1" applyBorder="1"/>
    <xf numFmtId="0" fontId="17" fillId="3" borderId="46" xfId="0" applyFont="1" applyFill="1" applyBorder="1" applyAlignment="1">
      <alignment horizontal="right"/>
    </xf>
    <xf numFmtId="1" fontId="2" fillId="2" borderId="9" xfId="0" applyNumberFormat="1" applyFont="1" applyFill="1" applyBorder="1" applyAlignment="1">
      <alignment horizontal="center"/>
    </xf>
    <xf numFmtId="2" fontId="2" fillId="0" borderId="10" xfId="0" applyNumberFormat="1" applyFont="1" applyFill="1" applyBorder="1"/>
    <xf numFmtId="164" fontId="7" fillId="2" borderId="19" xfId="0" applyNumberFormat="1" applyFont="1" applyFill="1" applyBorder="1" applyAlignment="1">
      <alignment horizontal="center"/>
    </xf>
    <xf numFmtId="0" fontId="2" fillId="0" borderId="30" xfId="0" applyFont="1" applyBorder="1"/>
    <xf numFmtId="164" fontId="16" fillId="3" borderId="30" xfId="0" applyNumberFormat="1" applyFont="1" applyFill="1" applyBorder="1" applyAlignment="1">
      <alignment horizontal="center"/>
    </xf>
    <xf numFmtId="164" fontId="16" fillId="3" borderId="31" xfId="0" applyNumberFormat="1" applyFont="1" applyFill="1" applyBorder="1" applyAlignment="1">
      <alignment horizontal="center"/>
    </xf>
    <xf numFmtId="0" fontId="2" fillId="0" borderId="37" xfId="0" applyFont="1" applyBorder="1"/>
    <xf numFmtId="0" fontId="2" fillId="0" borderId="42" xfId="0" applyFont="1" applyBorder="1"/>
    <xf numFmtId="0" fontId="2" fillId="0" borderId="38" xfId="0" applyFont="1" applyBorder="1"/>
    <xf numFmtId="0" fontId="2" fillId="0" borderId="1" xfId="0" applyFont="1" applyBorder="1"/>
    <xf numFmtId="166" fontId="2" fillId="0" borderId="49" xfId="0" applyNumberFormat="1" applyFont="1" applyBorder="1"/>
    <xf numFmtId="0" fontId="2" fillId="0" borderId="19" xfId="0" applyFont="1" applyBorder="1"/>
    <xf numFmtId="0" fontId="2" fillId="0" borderId="28" xfId="0" applyFont="1" applyBorder="1"/>
    <xf numFmtId="0" fontId="2" fillId="0" borderId="39" xfId="0" applyFont="1" applyBorder="1"/>
    <xf numFmtId="166" fontId="2" fillId="0" borderId="0" xfId="0" applyNumberFormat="1" applyFont="1" applyBorder="1"/>
    <xf numFmtId="0" fontId="2" fillId="0" borderId="0" xfId="0" applyFont="1" applyFill="1" applyBorder="1" applyAlignment="1">
      <alignment horizontal="right"/>
    </xf>
    <xf numFmtId="164" fontId="16" fillId="3" borderId="2" xfId="0" applyNumberFormat="1" applyFont="1" applyFill="1" applyBorder="1" applyAlignment="1">
      <alignment horizontal="center"/>
    </xf>
    <xf numFmtId="164" fontId="16" fillId="3" borderId="3" xfId="0" applyNumberFormat="1" applyFont="1" applyFill="1" applyBorder="1" applyAlignment="1">
      <alignment horizontal="center"/>
    </xf>
    <xf numFmtId="1" fontId="16" fillId="3" borderId="31" xfId="0" applyNumberFormat="1" applyFont="1" applyFill="1" applyBorder="1" applyAlignment="1">
      <alignment horizontal="center"/>
    </xf>
    <xf numFmtId="0" fontId="5" fillId="0" borderId="0" xfId="1" applyFont="1"/>
    <xf numFmtId="2" fontId="2" fillId="0" borderId="62" xfId="0" applyNumberFormat="1" applyFont="1" applyBorder="1"/>
    <xf numFmtId="164" fontId="2" fillId="2" borderId="62" xfId="0" applyNumberFormat="1" applyFont="1" applyFill="1" applyBorder="1"/>
    <xf numFmtId="2" fontId="2" fillId="0" borderId="49" xfId="0" applyNumberFormat="1" applyFont="1" applyBorder="1"/>
    <xf numFmtId="164" fontId="2" fillId="0" borderId="0" xfId="0" applyNumberFormat="1" applyFont="1" applyAlignment="1">
      <alignment horizontal="left"/>
    </xf>
    <xf numFmtId="0" fontId="5" fillId="0" borderId="0" xfId="1" applyFont="1" applyFill="1" applyBorder="1" applyAlignment="1">
      <alignment horizontal="right"/>
    </xf>
    <xf numFmtId="164" fontId="2" fillId="0" borderId="0" xfId="0" applyNumberFormat="1" applyFont="1" applyFill="1" applyBorder="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22" fillId="0" borderId="0" xfId="0" applyFont="1" applyFill="1"/>
    <xf numFmtId="0" fontId="23" fillId="0" borderId="0" xfId="0" applyFont="1" applyFill="1"/>
    <xf numFmtId="0" fontId="23" fillId="0" borderId="0" xfId="0" applyFont="1" applyFill="1" applyBorder="1"/>
    <xf numFmtId="0" fontId="23" fillId="0" borderId="0" xfId="0" applyFont="1"/>
    <xf numFmtId="0" fontId="22" fillId="0" borderId="0" xfId="0" applyFont="1" applyFill="1" applyBorder="1" applyAlignment="1">
      <alignment horizontal="left"/>
    </xf>
    <xf numFmtId="0" fontId="24" fillId="0" borderId="0" xfId="0" applyFont="1" applyFill="1" applyBorder="1" applyAlignment="1">
      <alignment vertical="center"/>
    </xf>
    <xf numFmtId="0" fontId="24" fillId="0" borderId="0" xfId="0" applyFont="1" applyFill="1" applyBorder="1" applyAlignment="1">
      <alignment horizontal="left"/>
    </xf>
    <xf numFmtId="0" fontId="22" fillId="0" borderId="0" xfId="0" applyFont="1" applyFill="1" applyBorder="1" applyAlignment="1">
      <alignment vertical="center"/>
    </xf>
    <xf numFmtId="0" fontId="25" fillId="0" borderId="0" xfId="0" applyFont="1" applyBorder="1" applyAlignment="1"/>
    <xf numFmtId="0" fontId="25" fillId="0" borderId="0" xfId="0" applyFont="1" applyFill="1"/>
    <xf numFmtId="0" fontId="25" fillId="0" borderId="0" xfId="0" applyFont="1" applyFill="1" applyBorder="1"/>
    <xf numFmtId="167" fontId="25" fillId="5" borderId="32" xfId="0" applyNumberFormat="1" applyFont="1" applyFill="1" applyBorder="1" applyProtection="1">
      <protection locked="0"/>
    </xf>
    <xf numFmtId="2" fontId="25" fillId="5" borderId="32" xfId="3" applyNumberFormat="1" applyFont="1" applyFill="1" applyBorder="1" applyProtection="1">
      <protection locked="0"/>
    </xf>
    <xf numFmtId="37" fontId="25" fillId="5" borderId="32" xfId="2" applyNumberFormat="1" applyFont="1" applyFill="1" applyBorder="1" applyProtection="1">
      <protection locked="0"/>
    </xf>
    <xf numFmtId="42" fontId="25" fillId="0" borderId="32" xfId="0" applyNumberFormat="1" applyFont="1" applyFill="1" applyBorder="1"/>
    <xf numFmtId="41" fontId="25" fillId="5" borderId="32" xfId="3" applyNumberFormat="1" applyFont="1" applyFill="1" applyBorder="1" applyProtection="1">
      <protection locked="0"/>
    </xf>
    <xf numFmtId="0" fontId="25" fillId="0" borderId="4" xfId="0" applyFont="1" applyFill="1" applyBorder="1"/>
    <xf numFmtId="167" fontId="25" fillId="5" borderId="4" xfId="0" applyNumberFormat="1" applyFont="1" applyFill="1" applyBorder="1" applyProtection="1">
      <protection locked="0"/>
    </xf>
    <xf numFmtId="2" fontId="25" fillId="5" borderId="4" xfId="3" applyNumberFormat="1" applyFont="1" applyFill="1" applyBorder="1" applyProtection="1">
      <protection locked="0"/>
    </xf>
    <xf numFmtId="37" fontId="25" fillId="5" borderId="4" xfId="2" applyNumberFormat="1" applyFont="1" applyFill="1" applyBorder="1" applyProtection="1">
      <protection locked="0"/>
    </xf>
    <xf numFmtId="42" fontId="25" fillId="0" borderId="4" xfId="0" applyNumberFormat="1" applyFont="1" applyFill="1" applyBorder="1"/>
    <xf numFmtId="41" fontId="25" fillId="5" borderId="4" xfId="3" applyNumberFormat="1" applyFont="1" applyFill="1" applyBorder="1" applyProtection="1">
      <protection locked="0"/>
    </xf>
    <xf numFmtId="0" fontId="22" fillId="0" borderId="4" xfId="0" applyFont="1" applyFill="1" applyBorder="1"/>
    <xf numFmtId="0" fontId="22" fillId="6" borderId="4" xfId="0" applyFont="1" applyFill="1" applyBorder="1"/>
    <xf numFmtId="0" fontId="25" fillId="6" borderId="4" xfId="0" applyFont="1" applyFill="1" applyBorder="1" applyAlignment="1">
      <alignment horizontal="center"/>
    </xf>
    <xf numFmtId="0" fontId="25" fillId="6" borderId="4" xfId="0" applyFont="1" applyFill="1" applyBorder="1"/>
    <xf numFmtId="0" fontId="23" fillId="6" borderId="4" xfId="0" applyFont="1" applyFill="1" applyBorder="1"/>
    <xf numFmtId="44" fontId="25" fillId="6" borderId="4" xfId="3" applyFont="1" applyFill="1" applyBorder="1"/>
    <xf numFmtId="10" fontId="25" fillId="5" borderId="32" xfId="4" applyNumberFormat="1" applyFont="1" applyFill="1" applyBorder="1" applyProtection="1">
      <protection locked="0"/>
    </xf>
    <xf numFmtId="10" fontId="25" fillId="0" borderId="32" xfId="4" applyNumberFormat="1" applyFont="1" applyFill="1" applyBorder="1" applyProtection="1">
      <protection locked="0"/>
    </xf>
    <xf numFmtId="0" fontId="25" fillId="0" borderId="4" xfId="0" quotePrefix="1" applyFont="1" applyFill="1" applyBorder="1" applyAlignment="1">
      <alignment horizontal="right"/>
    </xf>
    <xf numFmtId="10" fontId="25" fillId="5" borderId="4" xfId="4" applyNumberFormat="1" applyFont="1" applyFill="1" applyBorder="1" applyProtection="1">
      <protection locked="0"/>
    </xf>
    <xf numFmtId="10" fontId="25" fillId="0" borderId="4" xfId="4" applyNumberFormat="1" applyFont="1" applyFill="1" applyBorder="1" applyProtection="1">
      <protection locked="0"/>
    </xf>
    <xf numFmtId="42" fontId="25" fillId="0" borderId="4" xfId="0" applyNumberFormat="1" applyFont="1" applyFill="1" applyBorder="1" applyAlignment="1">
      <alignment horizontal="right"/>
    </xf>
    <xf numFmtId="10" fontId="25" fillId="0" borderId="4" xfId="0" applyNumberFormat="1" applyFont="1" applyFill="1" applyBorder="1" applyProtection="1">
      <protection locked="0"/>
    </xf>
    <xf numFmtId="0" fontId="25" fillId="0" borderId="4" xfId="0" applyFont="1" applyFill="1" applyBorder="1" applyAlignment="1">
      <alignment horizontal="center"/>
    </xf>
    <xf numFmtId="42" fontId="22" fillId="0" borderId="4" xfId="0" applyNumberFormat="1" applyFont="1" applyFill="1" applyBorder="1"/>
    <xf numFmtId="0" fontId="30" fillId="3" borderId="65" xfId="5" applyFont="1" applyFill="1" applyBorder="1" applyAlignment="1">
      <alignment wrapText="1"/>
    </xf>
    <xf numFmtId="0" fontId="30" fillId="3" borderId="4" xfId="0" applyFont="1" applyFill="1" applyBorder="1"/>
    <xf numFmtId="0" fontId="31" fillId="3" borderId="32" xfId="0" applyFont="1" applyFill="1" applyBorder="1"/>
    <xf numFmtId="0" fontId="31" fillId="3" borderId="4" xfId="0" applyFont="1" applyFill="1" applyBorder="1"/>
    <xf numFmtId="167" fontId="22" fillId="2" borderId="4" xfId="0" applyNumberFormat="1" applyFont="1" applyFill="1" applyBorder="1"/>
    <xf numFmtId="44" fontId="25" fillId="2" borderId="4" xfId="3" applyNumberFormat="1" applyFont="1" applyFill="1" applyBorder="1" applyAlignment="1">
      <alignment horizontal="center"/>
    </xf>
    <xf numFmtId="37" fontId="25" fillId="2" borderId="4" xfId="0" applyNumberFormat="1" applyFont="1" applyFill="1" applyBorder="1"/>
    <xf numFmtId="42" fontId="25" fillId="2" borderId="4" xfId="0" applyNumberFormat="1" applyFont="1" applyFill="1" applyBorder="1"/>
    <xf numFmtId="42" fontId="25" fillId="2" borderId="4" xfId="3" applyNumberFormat="1" applyFont="1" applyFill="1" applyBorder="1"/>
    <xf numFmtId="42" fontId="25" fillId="2" borderId="32" xfId="3" applyNumberFormat="1" applyFont="1" applyFill="1" applyBorder="1"/>
    <xf numFmtId="42" fontId="25" fillId="2" borderId="32" xfId="0" applyNumberFormat="1" applyFont="1" applyFill="1" applyBorder="1"/>
    <xf numFmtId="42" fontId="29" fillId="2" borderId="32" xfId="3" applyNumberFormat="1" applyFont="1" applyFill="1" applyBorder="1"/>
    <xf numFmtId="42" fontId="29" fillId="2" borderId="4" xfId="3" applyNumberFormat="1" applyFont="1" applyFill="1" applyBorder="1"/>
    <xf numFmtId="42" fontId="29" fillId="2" borderId="4" xfId="0" applyNumberFormat="1" applyFont="1" applyFill="1" applyBorder="1"/>
    <xf numFmtId="42" fontId="29" fillId="2" borderId="32" xfId="4" applyNumberFormat="1" applyFont="1" applyFill="1" applyBorder="1" applyProtection="1"/>
    <xf numFmtId="42" fontId="29" fillId="2" borderId="4" xfId="4" applyNumberFormat="1" applyFont="1" applyFill="1" applyBorder="1" applyProtection="1"/>
    <xf numFmtId="10" fontId="29" fillId="2" borderId="4" xfId="0" applyNumberFormat="1" applyFont="1" applyFill="1" applyBorder="1" applyAlignment="1">
      <alignment horizontal="center"/>
    </xf>
    <xf numFmtId="0" fontId="30" fillId="3" borderId="65" xfId="5" applyFont="1" applyFill="1" applyBorder="1" applyAlignment="1">
      <alignment horizontal="center" wrapText="1"/>
    </xf>
    <xf numFmtId="0" fontId="30" fillId="3" borderId="65" xfId="5" applyNumberFormat="1" applyFont="1" applyFill="1" applyBorder="1" applyAlignment="1">
      <alignment horizontal="center" wrapText="1"/>
    </xf>
    <xf numFmtId="44" fontId="0" fillId="0" borderId="0" xfId="0" applyNumberFormat="1"/>
    <xf numFmtId="44" fontId="0" fillId="0" borderId="0" xfId="0" applyNumberFormat="1" applyAlignment="1">
      <alignment horizontal="center"/>
    </xf>
    <xf numFmtId="9" fontId="0" fillId="0" borderId="0" xfId="0" applyNumberFormat="1"/>
    <xf numFmtId="0" fontId="0" fillId="0" borderId="0" xfId="0" applyAlignment="1">
      <alignment horizontal="left"/>
    </xf>
    <xf numFmtId="0" fontId="19" fillId="0" borderId="0" xfId="0" applyFont="1" applyBorder="1" applyAlignment="1">
      <alignment horizontal="left"/>
    </xf>
    <xf numFmtId="0" fontId="16" fillId="3" borderId="0" xfId="0" applyFont="1" applyFill="1" applyAlignment="1">
      <alignment horizontal="right"/>
    </xf>
    <xf numFmtId="0" fontId="17" fillId="3" borderId="0" xfId="0" applyFont="1" applyFill="1" applyAlignment="1">
      <alignment horizontal="right"/>
    </xf>
    <xf numFmtId="9" fontId="2" fillId="0" borderId="0" xfId="0" applyNumberFormat="1" applyFont="1" applyAlignment="1">
      <alignment horizontal="center"/>
    </xf>
    <xf numFmtId="0" fontId="32" fillId="4" borderId="0" xfId="0" applyFont="1" applyFill="1" applyBorder="1" applyAlignment="1">
      <alignment horizontal="right"/>
    </xf>
    <xf numFmtId="0" fontId="2" fillId="0" borderId="66" xfId="0" applyFont="1" applyBorder="1"/>
    <xf numFmtId="0" fontId="0" fillId="0" borderId="15" xfId="0" applyBorder="1"/>
    <xf numFmtId="0" fontId="0" fillId="0" borderId="14" xfId="0" applyBorder="1" applyAlignment="1">
      <alignment horizontal="center"/>
    </xf>
    <xf numFmtId="44" fontId="0" fillId="0" borderId="16" xfId="0" applyNumberFormat="1" applyBorder="1"/>
    <xf numFmtId="0" fontId="0" fillId="0" borderId="4" xfId="0" applyBorder="1"/>
    <xf numFmtId="0" fontId="0" fillId="2" borderId="15" xfId="0" applyFill="1" applyBorder="1"/>
    <xf numFmtId="44" fontId="0" fillId="2" borderId="16" xfId="0" applyNumberFormat="1" applyFill="1" applyBorder="1"/>
    <xf numFmtId="0" fontId="12" fillId="3" borderId="26" xfId="0" applyFont="1" applyFill="1" applyBorder="1"/>
    <xf numFmtId="0" fontId="12" fillId="3" borderId="30" xfId="0" applyFont="1" applyFill="1" applyBorder="1" applyAlignment="1">
      <alignment horizontal="right"/>
    </xf>
    <xf numFmtId="0" fontId="12" fillId="3" borderId="31" xfId="0" applyFont="1" applyFill="1" applyBorder="1" applyAlignment="1">
      <alignment horizontal="left"/>
    </xf>
    <xf numFmtId="0" fontId="13" fillId="3" borderId="26" xfId="0" applyFont="1" applyFill="1" applyBorder="1"/>
    <xf numFmtId="0" fontId="12" fillId="3" borderId="48" xfId="0" applyFont="1" applyFill="1" applyBorder="1" applyAlignment="1">
      <alignment horizontal="center"/>
    </xf>
    <xf numFmtId="0" fontId="12" fillId="3" borderId="67" xfId="0" applyFont="1" applyFill="1" applyBorder="1" applyAlignment="1">
      <alignment horizontal="center"/>
    </xf>
    <xf numFmtId="0" fontId="12" fillId="3" borderId="68" xfId="0" applyFont="1" applyFill="1" applyBorder="1" applyAlignment="1">
      <alignment horizontal="center"/>
    </xf>
    <xf numFmtId="44" fontId="1" fillId="2" borderId="4" xfId="0" applyNumberFormat="1" applyFont="1" applyFill="1" applyBorder="1"/>
    <xf numFmtId="0" fontId="1" fillId="3" borderId="0" xfId="0" applyFont="1" applyFill="1"/>
    <xf numFmtId="44" fontId="0" fillId="2" borderId="4" xfId="0" applyNumberFormat="1" applyFill="1" applyBorder="1"/>
    <xf numFmtId="0" fontId="0" fillId="2" borderId="4" xfId="0" applyFill="1" applyBorder="1"/>
    <xf numFmtId="0" fontId="12" fillId="3" borderId="4" xfId="0" applyFont="1" applyFill="1" applyBorder="1" applyAlignment="1">
      <alignment horizontal="center"/>
    </xf>
    <xf numFmtId="0" fontId="33" fillId="3" borderId="4" xfId="0" applyFont="1" applyFill="1" applyBorder="1" applyAlignment="1">
      <alignment horizontal="center"/>
    </xf>
    <xf numFmtId="37" fontId="0" fillId="0" borderId="0" xfId="0" applyNumberFormat="1" applyAlignment="1">
      <alignment horizontal="left"/>
    </xf>
    <xf numFmtId="0" fontId="12" fillId="3" borderId="31" xfId="0" applyFont="1" applyFill="1" applyBorder="1" applyAlignment="1">
      <alignment horizontal="left"/>
    </xf>
    <xf numFmtId="0" fontId="12" fillId="3" borderId="31" xfId="0" applyFont="1" applyFill="1" applyBorder="1" applyAlignment="1">
      <alignment horizontal="center"/>
    </xf>
    <xf numFmtId="0" fontId="13" fillId="3" borderId="33" xfId="0" applyFont="1" applyFill="1" applyBorder="1" applyAlignment="1">
      <alignment horizontal="center" textRotation="90"/>
    </xf>
    <xf numFmtId="0" fontId="13" fillId="3" borderId="33" xfId="5" applyFont="1" applyFill="1" applyBorder="1" applyAlignment="1">
      <alignment horizontal="center" textRotation="90" wrapText="1"/>
    </xf>
    <xf numFmtId="0" fontId="13" fillId="3" borderId="32" xfId="0" applyFont="1" applyFill="1" applyBorder="1" applyAlignment="1">
      <alignment horizontal="right"/>
    </xf>
    <xf numFmtId="167" fontId="35" fillId="7" borderId="69" xfId="0" applyNumberFormat="1" applyFont="1" applyFill="1" applyBorder="1" applyProtection="1">
      <protection locked="0"/>
    </xf>
    <xf numFmtId="2" fontId="35" fillId="7" borderId="69" xfId="3" applyNumberFormat="1" applyFont="1" applyFill="1" applyBorder="1" applyProtection="1">
      <protection locked="0"/>
    </xf>
    <xf numFmtId="37" fontId="35" fillId="7" borderId="69" xfId="2" applyNumberFormat="1" applyFont="1" applyFill="1" applyBorder="1" applyProtection="1">
      <protection locked="0"/>
    </xf>
    <xf numFmtId="42" fontId="35" fillId="2" borderId="69" xfId="0" applyNumberFormat="1" applyFont="1" applyFill="1" applyBorder="1"/>
    <xf numFmtId="0" fontId="13" fillId="3" borderId="4" xfId="0" applyFont="1" applyFill="1" applyBorder="1" applyAlignment="1">
      <alignment horizontal="right"/>
    </xf>
    <xf numFmtId="167" fontId="35" fillId="7" borderId="4" xfId="0" applyNumberFormat="1" applyFont="1" applyFill="1" applyBorder="1" applyProtection="1">
      <protection locked="0"/>
    </xf>
    <xf numFmtId="2" fontId="35" fillId="7" borderId="32" xfId="3" applyNumberFormat="1" applyFont="1" applyFill="1" applyBorder="1" applyProtection="1">
      <protection locked="0"/>
    </xf>
    <xf numFmtId="37" fontId="35" fillId="7" borderId="4" xfId="2" applyNumberFormat="1" applyFont="1" applyFill="1" applyBorder="1" applyProtection="1">
      <protection locked="0"/>
    </xf>
    <xf numFmtId="42" fontId="35" fillId="2" borderId="4" xfId="0" applyNumberFormat="1" applyFont="1" applyFill="1" applyBorder="1"/>
    <xf numFmtId="2" fontId="35" fillId="7" borderId="4" xfId="3" applyNumberFormat="1" applyFont="1" applyFill="1" applyBorder="1" applyProtection="1">
      <protection locked="0"/>
    </xf>
    <xf numFmtId="0" fontId="12" fillId="3" borderId="4" xfId="0" applyFont="1" applyFill="1" applyBorder="1" applyAlignment="1">
      <alignment horizontal="right"/>
    </xf>
    <xf numFmtId="167" fontId="34" fillId="2" borderId="4" xfId="0" applyNumberFormat="1" applyFont="1" applyFill="1" applyBorder="1"/>
    <xf numFmtId="44" fontId="35" fillId="2" borderId="4" xfId="3" applyNumberFormat="1" applyFont="1" applyFill="1" applyBorder="1" applyAlignment="1">
      <alignment horizontal="center"/>
    </xf>
    <xf numFmtId="37" fontId="35" fillId="2" borderId="4" xfId="0" applyNumberFormat="1" applyFont="1" applyFill="1" applyBorder="1"/>
    <xf numFmtId="0" fontId="33" fillId="3" borderId="65" xfId="5" applyFont="1" applyFill="1" applyBorder="1" applyAlignment="1">
      <alignment horizontal="center" wrapText="1"/>
    </xf>
    <xf numFmtId="42" fontId="31" fillId="3" borderId="32" xfId="0" applyNumberFormat="1" applyFont="1" applyFill="1" applyBorder="1"/>
    <xf numFmtId="0" fontId="31" fillId="3" borderId="4" xfId="0" quotePrefix="1" applyFont="1" applyFill="1" applyBorder="1" applyAlignment="1">
      <alignment horizontal="right"/>
    </xf>
    <xf numFmtId="42" fontId="31" fillId="3" borderId="4" xfId="0" applyNumberFormat="1" applyFont="1" applyFill="1" applyBorder="1" applyAlignment="1">
      <alignment horizontal="right"/>
    </xf>
    <xf numFmtId="10" fontId="25" fillId="2" borderId="4" xfId="0" applyNumberFormat="1" applyFont="1" applyFill="1" applyBorder="1" applyAlignment="1">
      <alignment horizontal="center"/>
    </xf>
    <xf numFmtId="0" fontId="30" fillId="3" borderId="65" xfId="5" applyFont="1" applyFill="1" applyBorder="1" applyAlignment="1">
      <alignment horizontal="center" textRotation="90" wrapText="1"/>
    </xf>
    <xf numFmtId="0" fontId="12" fillId="3" borderId="54" xfId="0" applyFont="1" applyFill="1" applyBorder="1" applyAlignment="1">
      <alignment horizontal="center"/>
    </xf>
    <xf numFmtId="0" fontId="13" fillId="3" borderId="70" xfId="0" applyFont="1" applyFill="1" applyBorder="1"/>
    <xf numFmtId="0" fontId="12" fillId="3" borderId="55" xfId="0" applyFont="1" applyFill="1" applyBorder="1" applyAlignment="1">
      <alignment horizontal="center"/>
    </xf>
    <xf numFmtId="0" fontId="0" fillId="2" borderId="71" xfId="0" applyFill="1" applyBorder="1"/>
    <xf numFmtId="0" fontId="12" fillId="3" borderId="0" xfId="0" applyFont="1" applyFill="1" applyAlignment="1">
      <alignment horizontal="center"/>
    </xf>
    <xf numFmtId="0" fontId="0" fillId="2" borderId="26" xfId="0" applyFill="1" applyBorder="1" applyAlignment="1">
      <alignment horizontal="right"/>
    </xf>
    <xf numFmtId="0" fontId="12" fillId="3" borderId="13" xfId="0" applyFont="1" applyFill="1" applyBorder="1" applyAlignment="1">
      <alignment horizontal="center"/>
    </xf>
    <xf numFmtId="0" fontId="12" fillId="3" borderId="17" xfId="0" applyFont="1" applyFill="1" applyBorder="1" applyAlignment="1">
      <alignment horizontal="center"/>
    </xf>
    <xf numFmtId="0" fontId="12" fillId="3" borderId="26" xfId="0" applyFont="1" applyFill="1" applyBorder="1" applyAlignment="1">
      <alignment horizontal="right"/>
    </xf>
    <xf numFmtId="44" fontId="1" fillId="2" borderId="16" xfId="0" applyNumberFormat="1" applyFont="1" applyFill="1" applyBorder="1"/>
    <xf numFmtId="0" fontId="1" fillId="2" borderId="71" xfId="0" applyFont="1" applyFill="1" applyBorder="1"/>
    <xf numFmtId="1" fontId="0" fillId="2" borderId="15" xfId="0" applyNumberFormat="1" applyFill="1" applyBorder="1"/>
    <xf numFmtId="0" fontId="0" fillId="0" borderId="4" xfId="0" applyBorder="1" applyProtection="1">
      <protection locked="0"/>
    </xf>
    <xf numFmtId="1" fontId="0" fillId="0" borderId="14" xfId="0" applyNumberFormat="1" applyBorder="1" applyAlignment="1" applyProtection="1">
      <alignment horizontal="center"/>
      <protection locked="0"/>
    </xf>
    <xf numFmtId="0" fontId="0" fillId="0" borderId="15" xfId="0" applyFill="1" applyBorder="1" applyProtection="1">
      <protection locked="0"/>
    </xf>
    <xf numFmtId="0" fontId="1" fillId="2" borderId="14" xfId="0" applyFont="1" applyFill="1" applyBorder="1"/>
    <xf numFmtId="0" fontId="0" fillId="0" borderId="14" xfId="0" applyBorder="1" applyProtection="1">
      <protection locked="0"/>
    </xf>
    <xf numFmtId="44" fontId="0" fillId="0" borderId="16" xfId="0" applyNumberFormat="1" applyFont="1" applyFill="1" applyBorder="1" applyProtection="1">
      <protection locked="0"/>
    </xf>
    <xf numFmtId="1" fontId="1" fillId="2" borderId="14" xfId="0" applyNumberFormat="1" applyFont="1" applyFill="1" applyBorder="1"/>
    <xf numFmtId="1" fontId="1" fillId="2" borderId="16" xfId="0" applyNumberFormat="1" applyFont="1" applyFill="1" applyBorder="1"/>
    <xf numFmtId="0" fontId="0" fillId="0" borderId="14" xfId="0" applyBorder="1" applyAlignment="1" applyProtection="1">
      <alignment horizontal="center"/>
      <protection locked="0"/>
    </xf>
    <xf numFmtId="0" fontId="0" fillId="0" borderId="15" xfId="0" applyBorder="1" applyProtection="1">
      <protection locked="0"/>
    </xf>
    <xf numFmtId="0" fontId="0" fillId="4" borderId="15" xfId="0" applyFill="1" applyBorder="1" applyProtection="1">
      <protection locked="0"/>
    </xf>
    <xf numFmtId="1" fontId="1" fillId="2" borderId="14" xfId="0" applyNumberFormat="1" applyFont="1" applyFill="1" applyBorder="1" applyProtection="1">
      <protection locked="0"/>
    </xf>
    <xf numFmtId="0" fontId="1" fillId="2" borderId="71" xfId="0" applyFont="1" applyFill="1" applyBorder="1" applyProtection="1">
      <protection locked="0"/>
    </xf>
    <xf numFmtId="0" fontId="1" fillId="0" borderId="0" xfId="0" applyFont="1" applyBorder="1"/>
    <xf numFmtId="0" fontId="12" fillId="3" borderId="0" xfId="0" applyFont="1" applyFill="1" applyBorder="1" applyAlignment="1">
      <alignment horizontal="right"/>
    </xf>
    <xf numFmtId="0" fontId="1" fillId="3" borderId="0" xfId="0" applyFont="1" applyFill="1" applyBorder="1"/>
    <xf numFmtId="0" fontId="0" fillId="0" borderId="11" xfId="0" applyBorder="1"/>
    <xf numFmtId="0" fontId="12" fillId="3" borderId="12" xfId="0" applyFont="1" applyFill="1" applyBorder="1" applyAlignment="1">
      <alignment horizontal="center"/>
    </xf>
    <xf numFmtId="0" fontId="1" fillId="0" borderId="0" xfId="0" applyFont="1" applyAlignment="1">
      <alignment horizontal="center"/>
    </xf>
    <xf numFmtId="0" fontId="1" fillId="0" borderId="0" xfId="0" applyFont="1" applyAlignment="1">
      <alignment horizontal="center"/>
    </xf>
    <xf numFmtId="42" fontId="0" fillId="0" borderId="0" xfId="0" applyNumberFormat="1"/>
    <xf numFmtId="0" fontId="2" fillId="0" borderId="0" xfId="0" applyFont="1" applyAlignment="1">
      <alignment horizontal="right" vertical="center"/>
    </xf>
    <xf numFmtId="0" fontId="7" fillId="0" borderId="0" xfId="0" applyFont="1" applyAlignment="1"/>
    <xf numFmtId="0" fontId="1" fillId="0" borderId="0" xfId="0" applyFont="1" applyAlignment="1">
      <alignment horizontal="center"/>
    </xf>
    <xf numFmtId="0" fontId="12" fillId="3" borderId="0" xfId="0" applyFont="1" applyFill="1" applyBorder="1" applyAlignment="1">
      <alignment horizontal="left"/>
    </xf>
    <xf numFmtId="0" fontId="12" fillId="3" borderId="11" xfId="0" applyFont="1" applyFill="1" applyBorder="1" applyAlignment="1">
      <alignment horizontal="left"/>
    </xf>
    <xf numFmtId="0" fontId="1" fillId="2" borderId="72" xfId="0" applyFont="1" applyFill="1" applyBorder="1" applyAlignment="1">
      <alignment horizontal="center"/>
    </xf>
    <xf numFmtId="0" fontId="1" fillId="2" borderId="73" xfId="0" applyFont="1" applyFill="1" applyBorder="1" applyAlignment="1">
      <alignment horizontal="center"/>
    </xf>
    <xf numFmtId="0" fontId="0" fillId="2" borderId="72" xfId="0" applyFill="1" applyBorder="1" applyAlignment="1">
      <alignment horizontal="center"/>
    </xf>
    <xf numFmtId="0" fontId="0" fillId="2" borderId="73" xfId="0" applyFill="1" applyBorder="1" applyAlignment="1">
      <alignment horizontal="center"/>
    </xf>
    <xf numFmtId="0" fontId="0" fillId="2" borderId="74" xfId="0" applyFill="1" applyBorder="1" applyAlignment="1">
      <alignment horizontal="center"/>
    </xf>
    <xf numFmtId="0" fontId="12" fillId="3" borderId="26" xfId="0" applyFont="1" applyFill="1" applyBorder="1" applyAlignment="1">
      <alignment horizontal="center"/>
    </xf>
    <xf numFmtId="0" fontId="12" fillId="3" borderId="30" xfId="0" applyFont="1" applyFill="1" applyBorder="1" applyAlignment="1">
      <alignment horizontal="center"/>
    </xf>
    <xf numFmtId="0" fontId="12" fillId="3" borderId="14" xfId="0" applyFont="1" applyFill="1" applyBorder="1" applyAlignment="1">
      <alignment horizontal="center"/>
    </xf>
    <xf numFmtId="0" fontId="12" fillId="3" borderId="15" xfId="0" applyFont="1" applyFill="1" applyBorder="1" applyAlignment="1">
      <alignment horizontal="center"/>
    </xf>
    <xf numFmtId="0" fontId="12" fillId="3" borderId="16" xfId="0" applyFont="1" applyFill="1" applyBorder="1" applyAlignment="1">
      <alignment horizontal="center"/>
    </xf>
    <xf numFmtId="0" fontId="1" fillId="2" borderId="74" xfId="0" applyFont="1" applyFill="1" applyBorder="1" applyAlignment="1">
      <alignment horizontal="center"/>
    </xf>
    <xf numFmtId="0" fontId="12" fillId="3" borderId="31" xfId="0" applyFont="1" applyFill="1" applyBorder="1" applyAlignment="1">
      <alignment horizontal="center"/>
    </xf>
    <xf numFmtId="0" fontId="12" fillId="3" borderId="1" xfId="0" applyFont="1" applyFill="1" applyBorder="1" applyAlignment="1">
      <alignment horizontal="left"/>
    </xf>
    <xf numFmtId="0" fontId="12" fillId="3" borderId="2" xfId="0" applyFont="1" applyFill="1" applyBorder="1" applyAlignment="1">
      <alignment horizontal="left"/>
    </xf>
    <xf numFmtId="0" fontId="12" fillId="3" borderId="3" xfId="0" applyFont="1" applyFill="1" applyBorder="1" applyAlignment="1">
      <alignment horizontal="left"/>
    </xf>
    <xf numFmtId="0" fontId="0" fillId="0" borderId="0" xfId="0" applyAlignment="1">
      <alignment horizontal="center"/>
    </xf>
    <xf numFmtId="0" fontId="30" fillId="3" borderId="26" xfId="0" applyFont="1" applyFill="1" applyBorder="1" applyAlignment="1">
      <alignment horizontal="left"/>
    </xf>
    <xf numFmtId="0" fontId="30" fillId="3" borderId="30" xfId="0" applyFont="1" applyFill="1" applyBorder="1" applyAlignment="1">
      <alignment horizontal="left"/>
    </xf>
    <xf numFmtId="0" fontId="30" fillId="3" borderId="31" xfId="0" applyFont="1" applyFill="1" applyBorder="1" applyAlignment="1">
      <alignment horizontal="left"/>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9" fillId="0" borderId="13" xfId="0" applyFont="1" applyBorder="1" applyAlignment="1">
      <alignment horizontal="left"/>
    </xf>
    <xf numFmtId="0" fontId="19" fillId="0" borderId="17" xfId="0" applyFont="1" applyBorder="1" applyAlignment="1">
      <alignment horizontal="left"/>
    </xf>
    <xf numFmtId="0" fontId="16" fillId="3" borderId="26" xfId="0" applyFont="1" applyFill="1" applyBorder="1" applyAlignment="1">
      <alignment horizontal="center"/>
    </xf>
    <xf numFmtId="0" fontId="16" fillId="3" borderId="30" xfId="0" applyFont="1" applyFill="1" applyBorder="1" applyAlignment="1">
      <alignment horizontal="center"/>
    </xf>
    <xf numFmtId="0" fontId="16" fillId="3" borderId="31" xfId="0" applyFont="1" applyFill="1" applyBorder="1" applyAlignment="1">
      <alignment horizontal="center"/>
    </xf>
    <xf numFmtId="164" fontId="16" fillId="3" borderId="1" xfId="0" applyNumberFormat="1" applyFont="1" applyFill="1" applyBorder="1" applyAlignment="1">
      <alignment horizontal="center"/>
    </xf>
    <xf numFmtId="164" fontId="16" fillId="3" borderId="2" xfId="0" applyNumberFormat="1" applyFont="1" applyFill="1" applyBorder="1" applyAlignment="1">
      <alignment horizontal="center"/>
    </xf>
    <xf numFmtId="164" fontId="16" fillId="3" borderId="3" xfId="0" applyNumberFormat="1" applyFont="1" applyFill="1" applyBorder="1" applyAlignment="1">
      <alignment horizontal="center"/>
    </xf>
    <xf numFmtId="1" fontId="16" fillId="3" borderId="26" xfId="0" applyNumberFormat="1" applyFont="1" applyFill="1" applyBorder="1" applyAlignment="1">
      <alignment horizontal="center"/>
    </xf>
    <xf numFmtId="1" fontId="16" fillId="3" borderId="30" xfId="0" applyNumberFormat="1" applyFont="1" applyFill="1" applyBorder="1" applyAlignment="1">
      <alignment horizontal="center"/>
    </xf>
    <xf numFmtId="1" fontId="16" fillId="3" borderId="31" xfId="0" applyNumberFormat="1" applyFont="1" applyFill="1" applyBorder="1" applyAlignment="1">
      <alignment horizontal="center"/>
    </xf>
    <xf numFmtId="0" fontId="16" fillId="3" borderId="13" xfId="0" applyFont="1" applyFill="1" applyBorder="1" applyAlignment="1">
      <alignment horizontal="center"/>
    </xf>
    <xf numFmtId="164" fontId="16" fillId="3" borderId="26" xfId="0" applyNumberFormat="1" applyFont="1" applyFill="1" applyBorder="1" applyAlignment="1">
      <alignment horizontal="center"/>
    </xf>
    <xf numFmtId="164" fontId="16" fillId="3" borderId="30" xfId="0" applyNumberFormat="1" applyFont="1" applyFill="1" applyBorder="1" applyAlignment="1">
      <alignment horizontal="center"/>
    </xf>
    <xf numFmtId="164" fontId="16" fillId="3" borderId="31" xfId="0" applyNumberFormat="1"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right"/>
    </xf>
    <xf numFmtId="0" fontId="0" fillId="0" borderId="9" xfId="0"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26" xfId="0" applyFont="1" applyBorder="1" applyAlignment="1">
      <alignment horizontal="right"/>
    </xf>
    <xf numFmtId="0" fontId="1" fillId="0" borderId="27" xfId="0" applyFont="1" applyBorder="1" applyAlignment="1">
      <alignment horizontal="right"/>
    </xf>
    <xf numFmtId="0" fontId="1" fillId="0" borderId="28" xfId="0" applyFont="1" applyBorder="1" applyAlignment="1">
      <alignment horizontal="center"/>
    </xf>
    <xf numFmtId="0" fontId="1" fillId="0" borderId="0"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5" xfId="0" applyBorder="1" applyAlignment="1">
      <alignment horizontal="right"/>
    </xf>
    <xf numFmtId="0" fontId="0" fillId="0" borderId="6" xfId="0" applyBorder="1" applyAlignment="1">
      <alignment horizontal="right"/>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5" xfId="0" applyFont="1" applyBorder="1" applyAlignment="1">
      <alignment horizontal="right" vertical="center"/>
    </xf>
    <xf numFmtId="0" fontId="0" fillId="0" borderId="6" xfId="0" applyFont="1" applyBorder="1" applyAlignment="1">
      <alignment horizontal="right" vertical="center"/>
    </xf>
    <xf numFmtId="0" fontId="0" fillId="0" borderId="8" xfId="0" applyFont="1" applyBorder="1" applyAlignment="1">
      <alignment horizontal="right" vertical="center"/>
    </xf>
    <xf numFmtId="0" fontId="0" fillId="0" borderId="9" xfId="0" applyFont="1" applyBorder="1" applyAlignment="1">
      <alignment horizontal="right" vertical="center"/>
    </xf>
    <xf numFmtId="0" fontId="7" fillId="0" borderId="4" xfId="0" applyFont="1" applyBorder="1" applyAlignment="1">
      <alignment horizontal="center"/>
    </xf>
    <xf numFmtId="0" fontId="9" fillId="0" borderId="0" xfId="0" applyFont="1" applyAlignment="1">
      <alignment horizontal="left"/>
    </xf>
    <xf numFmtId="0" fontId="7" fillId="0" borderId="26"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2" fontId="7" fillId="0" borderId="16" xfId="0" applyNumberFormat="1" applyFont="1" applyBorder="1" applyAlignment="1">
      <alignment horizontal="center" textRotation="90"/>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xf>
    <xf numFmtId="0" fontId="7" fillId="0" borderId="13" xfId="0" applyFont="1" applyBorder="1" applyAlignment="1">
      <alignment horizontal="center"/>
    </xf>
    <xf numFmtId="2" fontId="7" fillId="0" borderId="14" xfId="0" applyNumberFormat="1" applyFont="1" applyBorder="1" applyAlignment="1">
      <alignment horizontal="center" textRotation="90"/>
    </xf>
    <xf numFmtId="2" fontId="7" fillId="0" borderId="15" xfId="0" applyNumberFormat="1" applyFont="1" applyBorder="1" applyAlignment="1">
      <alignment horizontal="center" textRotation="90"/>
    </xf>
    <xf numFmtId="0" fontId="14" fillId="3" borderId="0" xfId="0" applyFont="1" applyFill="1" applyAlignment="1">
      <alignment horizontal="left" vertical="center"/>
    </xf>
    <xf numFmtId="0" fontId="1" fillId="0" borderId="13" xfId="0" applyFont="1" applyBorder="1" applyAlignment="1">
      <alignment horizontal="left"/>
    </xf>
    <xf numFmtId="0" fontId="1" fillId="0" borderId="17" xfId="0" applyFont="1" applyBorder="1" applyAlignment="1">
      <alignment horizontal="left"/>
    </xf>
    <xf numFmtId="0" fontId="12" fillId="3" borderId="1" xfId="0" applyFont="1" applyFill="1" applyBorder="1" applyAlignment="1">
      <alignment horizontal="center"/>
    </xf>
    <xf numFmtId="0" fontId="12" fillId="3" borderId="3" xfId="0" applyFont="1" applyFill="1" applyBorder="1" applyAlignment="1">
      <alignment horizontal="center"/>
    </xf>
    <xf numFmtId="0" fontId="13" fillId="3" borderId="37" xfId="0" applyFont="1" applyFill="1" applyBorder="1" applyAlignment="1">
      <alignment horizontal="right"/>
    </xf>
    <xf numFmtId="0" fontId="13" fillId="3" borderId="45" xfId="0" applyFont="1" applyFill="1" applyBorder="1" applyAlignment="1">
      <alignment horizontal="right"/>
    </xf>
    <xf numFmtId="164" fontId="12" fillId="3" borderId="36" xfId="0" applyNumberFormat="1" applyFont="1" applyFill="1" applyBorder="1" applyAlignment="1">
      <alignment horizontal="center"/>
    </xf>
    <xf numFmtId="164" fontId="12" fillId="3" borderId="2" xfId="0" applyNumberFormat="1" applyFont="1" applyFill="1" applyBorder="1" applyAlignment="1">
      <alignment horizontal="center"/>
    </xf>
    <xf numFmtId="164" fontId="12" fillId="3" borderId="3" xfId="0" applyNumberFormat="1" applyFont="1" applyFill="1" applyBorder="1" applyAlignment="1">
      <alignment horizontal="center"/>
    </xf>
    <xf numFmtId="0" fontId="12" fillId="3" borderId="5" xfId="0" applyFont="1" applyFill="1" applyBorder="1" applyAlignment="1">
      <alignment horizontal="center"/>
    </xf>
    <xf numFmtId="0" fontId="12" fillId="3" borderId="7" xfId="0" applyFont="1" applyFill="1" applyBorder="1" applyAlignment="1">
      <alignment horizontal="center"/>
    </xf>
    <xf numFmtId="0" fontId="12" fillId="3" borderId="43" xfId="0" applyFont="1" applyFill="1" applyBorder="1" applyAlignment="1">
      <alignment horizontal="center"/>
    </xf>
    <xf numFmtId="0" fontId="12" fillId="3" borderId="18" xfId="0" applyFont="1" applyFill="1" applyBorder="1" applyAlignment="1">
      <alignment horizontal="center"/>
    </xf>
    <xf numFmtId="164" fontId="12" fillId="3" borderId="26" xfId="0" applyNumberFormat="1" applyFont="1" applyFill="1" applyBorder="1" applyAlignment="1">
      <alignment horizontal="center"/>
    </xf>
    <xf numFmtId="164" fontId="12" fillId="3" borderId="30" xfId="0" applyNumberFormat="1" applyFont="1" applyFill="1" applyBorder="1" applyAlignment="1">
      <alignment horizontal="center"/>
    </xf>
    <xf numFmtId="164" fontId="12" fillId="3" borderId="31" xfId="0" applyNumberFormat="1" applyFont="1" applyFill="1" applyBorder="1" applyAlignment="1">
      <alignment horizontal="center"/>
    </xf>
    <xf numFmtId="164" fontId="1" fillId="0" borderId="0" xfId="0" applyNumberFormat="1" applyFont="1" applyAlignment="1">
      <alignment horizontal="center"/>
    </xf>
  </cellXfs>
  <cellStyles count="6">
    <cellStyle name="Comma" xfId="2" builtinId="3"/>
    <cellStyle name="Currency" xfId="3" builtinId="4"/>
    <cellStyle name="Heading 1" xfId="5" builtinId="16"/>
    <cellStyle name="Hyperlink" xfId="1" builtinId="8"/>
    <cellStyle name="Normal" xfId="0" builtinId="0"/>
    <cellStyle name="Percent" xfId="4" builtinId="5"/>
  </cellStyles>
  <dxfs count="12">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fill>
        <patternFill>
          <bgColor theme="0"/>
        </patternFill>
      </fill>
    </dxf>
    <dxf>
      <fill>
        <patternFill>
          <bgColor theme="0"/>
        </patternFill>
      </fill>
    </dxf>
    <dxf>
      <fill>
        <patternFill>
          <bgColor theme="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1"/>
      <tableStyleElement type="header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'8YrCalendar'!$B$18</c:f>
              <c:strCache>
                <c:ptCount val="1"/>
                <c:pt idx="0">
                  <c:v>Total Production</c:v>
                </c:pt>
              </c:strCache>
            </c:strRef>
          </c:tx>
          <c:spPr>
            <a:ln w="28575" cap="rnd">
              <a:solidFill>
                <a:schemeClr val="accent6">
                  <a:lumMod val="75000"/>
                </a:schemeClr>
              </a:solidFill>
              <a:round/>
            </a:ln>
            <a:effectLst/>
          </c:spPr>
          <c:marker>
            <c:symbol val="none"/>
          </c:marker>
          <c:cat>
            <c:strRef>
              <c:f>('8YrCalendar'!$E$17,'8YrCalendar'!$H$17,'8YrCalendar'!$K$17,'8YrCalendar'!$N$17,'8YrCalendar'!$Q$17,'8YrCalendar'!$T$17,'8YrCalendar'!$W$17,'8YrCalendar'!$Z$17,'8YrCalendar'!$AC$17,'8YrCalendar'!$AF$17,'8YrCalendar'!$AI$17,'8YrCalendar'!$AL$17,'8YrCalendar'!$E$85,'8YrCalendar'!$H$85,'8YrCalendar'!$K$85,'8YrCalendar'!$N$85,'8YrCalendar'!$Q$85,'8YrCalendar'!$T$85,'8YrCalendar'!$W$85,'8YrCalendar'!$Z$85,'8YrCalendar'!$AC$85,'8YrCalendar'!$AF$85,'8YrCalendar'!$AI$85,'8YrCalendar'!$AL$85,'8YrCalendar'!$E$151,'8YrCalendar'!$H$151,'8YrCalendar'!$K$151,'8YrCalendar'!$N$151,'8YrCalendar'!$Q$151,'8YrCalendar'!$T$151,'8YrCalendar'!$W$151,'8YrCalendar'!$Z$151,'8YrCalendar'!$AC$151,'8YrCalendar'!$AF$151,'8YrCalendar'!$AI$151,'8YrCalendar'!$AL$151,'8YrCalendar'!$E$216,'8YrCalendar'!$H$216,'8YrCalendar'!$K$216,'8YrCalendar'!$N$216,'8YrCalendar'!$Q$216,'8YrCalendar'!$T$216,'8YrCalendar'!$W$216,'8YrCalendar'!$Z$216,'8YrCalendar'!$AC$216,'8YrCalendar'!$AF$216,'8YrCalendar'!$AI$216,'8YrCalendar'!$AL$216,'8YrCalendar'!$E$281,'8YrCalendar'!$H$281,'8YrCalendar'!$K$281,'8YrCalendar'!$N$281,'8YrCalendar'!$Q$281,'8YrCalendar'!$T$281,'8YrCalendar'!$W$281,'8YrCalendar'!$Z$281,'8YrCalendar'!$AC$281,'8YrCalendar'!$AF$281,'8YrCalendar'!$AI$281,'8YrCalendar'!$AL$281,'8YrCalendar'!$E$346,'8YrCalendar'!$H$346,'8YrCalendar'!$K$346,'8YrCalendar'!$N$346,'8YrCalendar'!$Q$346,'8YrCalendar'!$T$346,'8YrCalendar'!$W$346,'8YrCalendar'!$Z$346,'8YrCalendar'!$AC$346,'8YrCalendar'!$AF$346,'8YrCalendar'!$AI$346,'8YrCalendar'!$AL$346,'8YrCalendar'!$E$411,'8YrCalendar'!$H$411,'8YrCalendar'!$K$411,'8YrCalendar'!$N$411,'8YrCalendar'!$Q$411,'8YrCalendar'!$T$411,'8YrCalendar'!$W$411,'8YrCalendar'!$Z$411,'8YrCalendar'!$AC$411,'8YrCalendar'!$AF$411,'8YrCalendar'!$AI$411,'8YrCalendar'!$AL$411,'8YrCalendar'!$E$476,'8YrCalendar'!$H$476,'8YrCalendar'!$K$476,'8YrCalendar'!$N$476,'8YrCalendar'!$Q$476,'8YrCalendar'!$T$476,'8YrCalendar'!$W$476,'8YrCalendar'!$Z$476,'8YrCalendar'!$AC$476,'8YrCalendar'!$AF$476,'8YrCalendar'!$AI$476,'8YrCalendar'!$AL$476)</c:f>
              <c:strCache>
                <c:ptCount val="96"/>
                <c:pt idx="0">
                  <c:v>April_Yr1</c:v>
                </c:pt>
                <c:pt idx="1">
                  <c:v>May_Yr1</c:v>
                </c:pt>
                <c:pt idx="2">
                  <c:v>June_Yr1</c:v>
                </c:pt>
                <c:pt idx="3">
                  <c:v>July_Yr1</c:v>
                </c:pt>
                <c:pt idx="4">
                  <c:v>Aug_Yr1</c:v>
                </c:pt>
                <c:pt idx="5">
                  <c:v>Sept_Yr1</c:v>
                </c:pt>
                <c:pt idx="6">
                  <c:v>Oct_Yr1</c:v>
                </c:pt>
                <c:pt idx="7">
                  <c:v>Nov_Yr1</c:v>
                </c:pt>
                <c:pt idx="8">
                  <c:v>Dec_Yr1</c:v>
                </c:pt>
                <c:pt idx="9">
                  <c:v>Jan_Yr1</c:v>
                </c:pt>
                <c:pt idx="10">
                  <c:v>Feb_Yr1</c:v>
                </c:pt>
                <c:pt idx="11">
                  <c:v>Mar_Yr1</c:v>
                </c:pt>
                <c:pt idx="12">
                  <c:v>April_Yr2</c:v>
                </c:pt>
                <c:pt idx="13">
                  <c:v>May_Yr2</c:v>
                </c:pt>
                <c:pt idx="14">
                  <c:v>June_Yr2</c:v>
                </c:pt>
                <c:pt idx="15">
                  <c:v>July_Yr2</c:v>
                </c:pt>
                <c:pt idx="16">
                  <c:v>Aug_Yr2</c:v>
                </c:pt>
                <c:pt idx="17">
                  <c:v>Sept_Yr2</c:v>
                </c:pt>
                <c:pt idx="18">
                  <c:v>Oct_Yr2</c:v>
                </c:pt>
                <c:pt idx="19">
                  <c:v>Nov_Yr2</c:v>
                </c:pt>
                <c:pt idx="20">
                  <c:v>Dec_Yr2</c:v>
                </c:pt>
                <c:pt idx="21">
                  <c:v>Jan_Yr2</c:v>
                </c:pt>
                <c:pt idx="22">
                  <c:v>Feb_Yr2</c:v>
                </c:pt>
                <c:pt idx="23">
                  <c:v>Mar_Yr2</c:v>
                </c:pt>
                <c:pt idx="24">
                  <c:v>April_Yr3</c:v>
                </c:pt>
                <c:pt idx="25">
                  <c:v>May_Yr3</c:v>
                </c:pt>
                <c:pt idx="26">
                  <c:v>June_Yr3</c:v>
                </c:pt>
                <c:pt idx="27">
                  <c:v>July_Yr3</c:v>
                </c:pt>
                <c:pt idx="28">
                  <c:v>Aug_Yr3</c:v>
                </c:pt>
                <c:pt idx="29">
                  <c:v>Sept_Yr3</c:v>
                </c:pt>
                <c:pt idx="30">
                  <c:v>Oct_Yr3</c:v>
                </c:pt>
                <c:pt idx="31">
                  <c:v>Nov_Yr3</c:v>
                </c:pt>
                <c:pt idx="32">
                  <c:v>Dec_Yr3</c:v>
                </c:pt>
                <c:pt idx="33">
                  <c:v>Jan_Yr3</c:v>
                </c:pt>
                <c:pt idx="34">
                  <c:v>Feb_Yr3</c:v>
                </c:pt>
                <c:pt idx="35">
                  <c:v>Mar_Yr3</c:v>
                </c:pt>
                <c:pt idx="36">
                  <c:v>April_Yr4</c:v>
                </c:pt>
                <c:pt idx="37">
                  <c:v>May_Yr4</c:v>
                </c:pt>
                <c:pt idx="38">
                  <c:v>June_Yr4</c:v>
                </c:pt>
                <c:pt idx="39">
                  <c:v>July_Yr4</c:v>
                </c:pt>
                <c:pt idx="40">
                  <c:v>Aug_Yr4</c:v>
                </c:pt>
                <c:pt idx="41">
                  <c:v>Sept_Yr4</c:v>
                </c:pt>
                <c:pt idx="42">
                  <c:v>Oct_Yr4</c:v>
                </c:pt>
                <c:pt idx="43">
                  <c:v>Nov_Yr4</c:v>
                </c:pt>
                <c:pt idx="44">
                  <c:v>Dec_Yr4</c:v>
                </c:pt>
                <c:pt idx="45">
                  <c:v>Jan_Yr4</c:v>
                </c:pt>
                <c:pt idx="46">
                  <c:v>Feb_Yr4</c:v>
                </c:pt>
                <c:pt idx="47">
                  <c:v>Mar_Yr4</c:v>
                </c:pt>
                <c:pt idx="48">
                  <c:v>April_Yr5</c:v>
                </c:pt>
                <c:pt idx="49">
                  <c:v>May_Yr5</c:v>
                </c:pt>
                <c:pt idx="50">
                  <c:v>June_Yr5</c:v>
                </c:pt>
                <c:pt idx="51">
                  <c:v>July_Yr5</c:v>
                </c:pt>
                <c:pt idx="52">
                  <c:v>Aug_Yr5</c:v>
                </c:pt>
                <c:pt idx="53">
                  <c:v>Sept_Yr5</c:v>
                </c:pt>
                <c:pt idx="54">
                  <c:v>Oct_Yr5</c:v>
                </c:pt>
                <c:pt idx="55">
                  <c:v>Nov_Yr5</c:v>
                </c:pt>
                <c:pt idx="56">
                  <c:v>Dec_Yr5</c:v>
                </c:pt>
                <c:pt idx="57">
                  <c:v>Jan_Yr5</c:v>
                </c:pt>
                <c:pt idx="58">
                  <c:v>Feb_Yr5</c:v>
                </c:pt>
                <c:pt idx="59">
                  <c:v>Mar_Yr5</c:v>
                </c:pt>
                <c:pt idx="60">
                  <c:v>April_Yr6</c:v>
                </c:pt>
                <c:pt idx="61">
                  <c:v>May_Yr6</c:v>
                </c:pt>
                <c:pt idx="62">
                  <c:v>June_Yr6</c:v>
                </c:pt>
                <c:pt idx="63">
                  <c:v>July_Yr6</c:v>
                </c:pt>
                <c:pt idx="64">
                  <c:v>Aug_Yr6</c:v>
                </c:pt>
                <c:pt idx="65">
                  <c:v>Sept_Yr6</c:v>
                </c:pt>
                <c:pt idx="66">
                  <c:v>Oct_Yr6</c:v>
                </c:pt>
                <c:pt idx="67">
                  <c:v>Nov_Yr6</c:v>
                </c:pt>
                <c:pt idx="68">
                  <c:v>Dec_Yr6</c:v>
                </c:pt>
                <c:pt idx="69">
                  <c:v>Jan_Yr6</c:v>
                </c:pt>
                <c:pt idx="70">
                  <c:v>Feb_Yr6</c:v>
                </c:pt>
                <c:pt idx="71">
                  <c:v>Mar_Yr6</c:v>
                </c:pt>
                <c:pt idx="72">
                  <c:v>April_Yr7</c:v>
                </c:pt>
                <c:pt idx="73">
                  <c:v>May_Yr7</c:v>
                </c:pt>
                <c:pt idx="74">
                  <c:v>June_Yr7</c:v>
                </c:pt>
                <c:pt idx="75">
                  <c:v>July_Yr7</c:v>
                </c:pt>
                <c:pt idx="76">
                  <c:v>Aug_Yr7</c:v>
                </c:pt>
                <c:pt idx="77">
                  <c:v>Sept_Yr7</c:v>
                </c:pt>
                <c:pt idx="78">
                  <c:v>Oct_Yr7</c:v>
                </c:pt>
                <c:pt idx="79">
                  <c:v>Nov_Yr7</c:v>
                </c:pt>
                <c:pt idx="80">
                  <c:v>Dec_Yr7</c:v>
                </c:pt>
                <c:pt idx="81">
                  <c:v>Jan_Yr7</c:v>
                </c:pt>
                <c:pt idx="82">
                  <c:v>Feb_Yr7</c:v>
                </c:pt>
                <c:pt idx="83">
                  <c:v>Mar_Yr7</c:v>
                </c:pt>
                <c:pt idx="84">
                  <c:v>April_Yr8</c:v>
                </c:pt>
                <c:pt idx="85">
                  <c:v>May_Yr8</c:v>
                </c:pt>
                <c:pt idx="86">
                  <c:v>June_Yr8</c:v>
                </c:pt>
                <c:pt idx="87">
                  <c:v>July_Yr8</c:v>
                </c:pt>
                <c:pt idx="88">
                  <c:v>Aug_Yr8</c:v>
                </c:pt>
                <c:pt idx="89">
                  <c:v>Sept_Yr8</c:v>
                </c:pt>
                <c:pt idx="90">
                  <c:v>Oct_Yr8</c:v>
                </c:pt>
                <c:pt idx="91">
                  <c:v>Nov_Yr8</c:v>
                </c:pt>
                <c:pt idx="92">
                  <c:v>Dec_Yr8</c:v>
                </c:pt>
                <c:pt idx="93">
                  <c:v>Jan_Yr8</c:v>
                </c:pt>
                <c:pt idx="94">
                  <c:v>Feb_Yr8</c:v>
                </c:pt>
                <c:pt idx="95">
                  <c:v>Mar_Yr8</c:v>
                </c:pt>
              </c:strCache>
            </c:strRef>
          </c:cat>
          <c:val>
            <c:numRef>
              <c:f>('8YrCalendar'!$E$80,'8YrCalendar'!$H$80,'8YrCalendar'!$K$80,'8YrCalendar'!$N$80,'8YrCalendar'!$Q$80,'8YrCalendar'!$T$80,'8YrCalendar'!$W$80,'8YrCalendar'!$Z$80,'8YrCalendar'!$AC$80,'8YrCalendar'!$AF$80,'8YrCalendar'!$AI$80,'8YrCalendar'!$AL$80,'8YrCalendar'!$E$145,'8YrCalendar'!$H$145,'8YrCalendar'!$K$145,'8YrCalendar'!$N$145,'8YrCalendar'!$Q$145,'8YrCalendar'!$T$145,'8YrCalendar'!$W$145,'8YrCalendar'!$Z$145,'8YrCalendar'!$AC$145,'8YrCalendar'!$AF$145,'8YrCalendar'!$AI$145,'8YrCalendar'!$AL$145,'8YrCalendar'!$E$211,'8YrCalendar'!$H$211,'8YrCalendar'!$K$211,'8YrCalendar'!$N$211,'8YrCalendar'!$Q$211,'8YrCalendar'!$T$211,'8YrCalendar'!$W$211,'8YrCalendar'!$Z$211,'8YrCalendar'!$AC$211,'8YrCalendar'!$AF$211,'8YrCalendar'!$AI$211,'8YrCalendar'!$AL$211,'8YrCalendar'!$E$276,'8YrCalendar'!$H$276,'8YrCalendar'!$K$276,'8YrCalendar'!$N$276,'8YrCalendar'!$Q$276,'8YrCalendar'!$T$276,'8YrCalendar'!$W$276,'8YrCalendar'!$Z$276,'8YrCalendar'!$AC$276,'8YrCalendar'!$AF$276,'8YrCalendar'!$AI$276,'8YrCalendar'!$AL$276,'8YrCalendar'!$E$341,'8YrCalendar'!$H$341,'8YrCalendar'!$K$341,'8YrCalendar'!$N$341,'8YrCalendar'!$Q$341,'8YrCalendar'!$T$341,'8YrCalendar'!$W$341,'8YrCalendar'!$Z$341,'8YrCalendar'!$AC$341,'8YrCalendar'!$AF$341,'8YrCalendar'!$AI$341,'8YrCalendar'!$AL$341,'8YrCalendar'!$E$406,'8YrCalendar'!$H$406,'8YrCalendar'!$K$406,'8YrCalendar'!$N$406,'8YrCalendar'!$Q$406,'8YrCalendar'!$T$406,'8YrCalendar'!$W$406,'8YrCalendar'!$Z$406,'8YrCalendar'!$AC$406,'8YrCalendar'!$AF$406,'8YrCalendar'!$AI$406,'8YrCalendar'!$AL$406,'8YrCalendar'!$E$471,'8YrCalendar'!$H$471,'8YrCalendar'!$K$471,'8YrCalendar'!$N$471,'8YrCalendar'!$Q$471,'8YrCalendar'!$T$471,'8YrCalendar'!$W$471,'8YrCalendar'!$Z$471,'8YrCalendar'!$AC$471,'8YrCalendar'!$AF$471,'8YrCalendar'!$AI$471,'8YrCalendar'!$AL$471,'8YrCalendar'!$E$536,'8YrCalendar'!$H$536,'8YrCalendar'!$K$536,'8YrCalendar'!$N$536,'8YrCalendar'!$Q$536,'8YrCalendar'!$T$536,'8YrCalendar'!$W$536,'8YrCalendar'!$Z$536,'8YrCalendar'!$AC$536,'8YrCalendar'!$AF$536,'8YrCalendar'!$AI$536,'8YrCalendar'!$AL$536)</c:f>
              <c:numCache>
                <c:formatCode>_("$"* #,##0.00_);_("$"* \(#,##0.00\);_("$"* "-"??_);_(@_)</c:formatCode>
                <c:ptCount val="96"/>
                <c:pt idx="0">
                  <c:v>1424.9146666666666</c:v>
                </c:pt>
                <c:pt idx="1">
                  <c:v>1424.9146666666666</c:v>
                </c:pt>
                <c:pt idx="2">
                  <c:v>1424.9146666666666</c:v>
                </c:pt>
                <c:pt idx="3">
                  <c:v>1424.9146666666666</c:v>
                </c:pt>
                <c:pt idx="4">
                  <c:v>1424.9146666666666</c:v>
                </c:pt>
                <c:pt idx="5">
                  <c:v>1904.9146666666666</c:v>
                </c:pt>
                <c:pt idx="6">
                  <c:v>2192.9146666666666</c:v>
                </c:pt>
                <c:pt idx="7">
                  <c:v>2192.9146666666666</c:v>
                </c:pt>
                <c:pt idx="8">
                  <c:v>2192.9146666666666</c:v>
                </c:pt>
                <c:pt idx="9">
                  <c:v>1904.9146666666666</c:v>
                </c:pt>
                <c:pt idx="10">
                  <c:v>2192.9146666666666</c:v>
                </c:pt>
                <c:pt idx="11">
                  <c:v>2192.9146666666666</c:v>
                </c:pt>
                <c:pt idx="12">
                  <c:v>3573.8293333333331</c:v>
                </c:pt>
                <c:pt idx="13">
                  <c:v>3573.8293333333331</c:v>
                </c:pt>
                <c:pt idx="14">
                  <c:v>3573.8293333333331</c:v>
                </c:pt>
                <c:pt idx="15">
                  <c:v>4053.8293333333331</c:v>
                </c:pt>
                <c:pt idx="16">
                  <c:v>4053.8293333333331</c:v>
                </c:pt>
                <c:pt idx="17">
                  <c:v>3813.8293333333331</c:v>
                </c:pt>
                <c:pt idx="18">
                  <c:v>3573.8293333333331</c:v>
                </c:pt>
                <c:pt idx="19">
                  <c:v>3093.8293333333331</c:v>
                </c:pt>
                <c:pt idx="20">
                  <c:v>3093.8293333333331</c:v>
                </c:pt>
                <c:pt idx="21">
                  <c:v>3093.8293333333331</c:v>
                </c:pt>
                <c:pt idx="22">
                  <c:v>3093.8293333333331</c:v>
                </c:pt>
                <c:pt idx="23">
                  <c:v>3093.8293333333331</c:v>
                </c:pt>
                <c:pt idx="24">
                  <c:v>3973.8293333333331</c:v>
                </c:pt>
                <c:pt idx="25">
                  <c:v>3973.8293333333331</c:v>
                </c:pt>
                <c:pt idx="26">
                  <c:v>3973.8293333333331</c:v>
                </c:pt>
                <c:pt idx="27">
                  <c:v>4453.8293333333331</c:v>
                </c:pt>
                <c:pt idx="28">
                  <c:v>4453.8293333333331</c:v>
                </c:pt>
                <c:pt idx="29">
                  <c:v>4844.4063333333334</c:v>
                </c:pt>
                <c:pt idx="30">
                  <c:v>4604.4063333333334</c:v>
                </c:pt>
                <c:pt idx="31">
                  <c:v>3493.8293333333331</c:v>
                </c:pt>
                <c:pt idx="32">
                  <c:v>3493.8293333333331</c:v>
                </c:pt>
                <c:pt idx="33">
                  <c:v>3493.8293333333331</c:v>
                </c:pt>
                <c:pt idx="34">
                  <c:v>3493.8293333333331</c:v>
                </c:pt>
                <c:pt idx="35">
                  <c:v>3493.8293333333331</c:v>
                </c:pt>
                <c:pt idx="36">
                  <c:v>4109.7440000000006</c:v>
                </c:pt>
                <c:pt idx="37">
                  <c:v>4109.7440000000006</c:v>
                </c:pt>
                <c:pt idx="38">
                  <c:v>4109.7440000000006</c:v>
                </c:pt>
                <c:pt idx="39">
                  <c:v>4749.7440000000006</c:v>
                </c:pt>
                <c:pt idx="40">
                  <c:v>4749.7440000000006</c:v>
                </c:pt>
                <c:pt idx="41">
                  <c:v>6010.8980000000001</c:v>
                </c:pt>
                <c:pt idx="42">
                  <c:v>5770.8980000000001</c:v>
                </c:pt>
                <c:pt idx="43">
                  <c:v>4029.7440000000001</c:v>
                </c:pt>
                <c:pt idx="44">
                  <c:v>4029.7440000000001</c:v>
                </c:pt>
                <c:pt idx="45">
                  <c:v>3629.7440000000001</c:v>
                </c:pt>
                <c:pt idx="46">
                  <c:v>3629.7440000000001</c:v>
                </c:pt>
                <c:pt idx="47">
                  <c:v>3629.7440000000001</c:v>
                </c:pt>
                <c:pt idx="48">
                  <c:v>4316.7440000000006</c:v>
                </c:pt>
                <c:pt idx="49">
                  <c:v>4496.7440000000006</c:v>
                </c:pt>
                <c:pt idx="50">
                  <c:v>4496.7440000000006</c:v>
                </c:pt>
                <c:pt idx="51">
                  <c:v>5235.1973333333335</c:v>
                </c:pt>
                <c:pt idx="52">
                  <c:v>5439.1973333333335</c:v>
                </c:pt>
                <c:pt idx="53">
                  <c:v>7826.5053333333326</c:v>
                </c:pt>
                <c:pt idx="54">
                  <c:v>7623.0519999999997</c:v>
                </c:pt>
                <c:pt idx="55">
                  <c:v>4704.7440000000006</c:v>
                </c:pt>
                <c:pt idx="56">
                  <c:v>4416.7440000000006</c:v>
                </c:pt>
                <c:pt idx="57">
                  <c:v>4016.7440000000001</c:v>
                </c:pt>
                <c:pt idx="58">
                  <c:v>4016.7440000000001</c:v>
                </c:pt>
                <c:pt idx="59">
                  <c:v>4016.7440000000001</c:v>
                </c:pt>
                <c:pt idx="60">
                  <c:v>4796.7440000000006</c:v>
                </c:pt>
                <c:pt idx="61">
                  <c:v>5491.7439999999997</c:v>
                </c:pt>
                <c:pt idx="62">
                  <c:v>5779.7439999999997</c:v>
                </c:pt>
                <c:pt idx="63">
                  <c:v>8913.4574533333325</c:v>
                </c:pt>
                <c:pt idx="64">
                  <c:v>10866.611453333333</c:v>
                </c:pt>
                <c:pt idx="65">
                  <c:v>11274.611453333333</c:v>
                </c:pt>
                <c:pt idx="66">
                  <c:v>6631.7439999999997</c:v>
                </c:pt>
                <c:pt idx="67">
                  <c:v>5539.7439999999997</c:v>
                </c:pt>
                <c:pt idx="68">
                  <c:v>5539.7439999999997</c:v>
                </c:pt>
                <c:pt idx="69">
                  <c:v>5219.7439999999997</c:v>
                </c:pt>
                <c:pt idx="70">
                  <c:v>5019.7439999999997</c:v>
                </c:pt>
                <c:pt idx="71">
                  <c:v>5219.7439999999997</c:v>
                </c:pt>
                <c:pt idx="72">
                  <c:v>8103.9146666666666</c:v>
                </c:pt>
                <c:pt idx="73">
                  <c:v>7415.9146666666666</c:v>
                </c:pt>
                <c:pt idx="74">
                  <c:v>7703.9146666666666</c:v>
                </c:pt>
                <c:pt idx="75">
                  <c:v>14184.248239999999</c:v>
                </c:pt>
                <c:pt idx="76">
                  <c:v>16418.556239999998</c:v>
                </c:pt>
                <c:pt idx="77">
                  <c:v>16706.556239999998</c:v>
                </c:pt>
                <c:pt idx="78">
                  <c:v>10151.914666666667</c:v>
                </c:pt>
                <c:pt idx="79">
                  <c:v>10151.914666666667</c:v>
                </c:pt>
                <c:pt idx="80">
                  <c:v>10151.914666666667</c:v>
                </c:pt>
                <c:pt idx="81">
                  <c:v>8103.9146666666666</c:v>
                </c:pt>
                <c:pt idx="82">
                  <c:v>7703.9146666666666</c:v>
                </c:pt>
                <c:pt idx="83">
                  <c:v>7703.9146666666666</c:v>
                </c:pt>
                <c:pt idx="84">
                  <c:v>8103.9146666666666</c:v>
                </c:pt>
                <c:pt idx="85">
                  <c:v>8508.9146666666675</c:v>
                </c:pt>
                <c:pt idx="86">
                  <c:v>8508.9146666666675</c:v>
                </c:pt>
                <c:pt idx="87">
                  <c:v>14989.248239999999</c:v>
                </c:pt>
                <c:pt idx="88">
                  <c:v>17511.556239999998</c:v>
                </c:pt>
                <c:pt idx="89">
                  <c:v>17511.556239999998</c:v>
                </c:pt>
                <c:pt idx="90">
                  <c:v>10956.914666666667</c:v>
                </c:pt>
                <c:pt idx="91">
                  <c:v>10956.914666666667</c:v>
                </c:pt>
                <c:pt idx="92">
                  <c:v>10756.914666666667</c:v>
                </c:pt>
                <c:pt idx="93">
                  <c:v>8308.9146666666675</c:v>
                </c:pt>
                <c:pt idx="94">
                  <c:v>7828.9146666666666</c:v>
                </c:pt>
                <c:pt idx="95">
                  <c:v>8308.9146666666675</c:v>
                </c:pt>
              </c:numCache>
            </c:numRef>
          </c:val>
          <c:smooth val="0"/>
          <c:extLst>
            <c:ext xmlns:c16="http://schemas.microsoft.com/office/drawing/2014/chart" uri="{C3380CC4-5D6E-409C-BE32-E72D297353CC}">
              <c16:uniqueId val="{00000000-EA8A-475F-9DF6-E92AFC7D2323}"/>
            </c:ext>
          </c:extLst>
        </c:ser>
        <c:ser>
          <c:idx val="1"/>
          <c:order val="1"/>
          <c:tx>
            <c:strRef>
              <c:f>'8YrCalendar'!$A$14</c:f>
              <c:strCache>
                <c:ptCount val="1"/>
                <c:pt idx="0">
                  <c:v>Total Expenses</c:v>
                </c:pt>
              </c:strCache>
            </c:strRef>
          </c:tx>
          <c:spPr>
            <a:ln w="28575" cap="rnd">
              <a:solidFill>
                <a:srgbClr val="FF0000"/>
              </a:solidFill>
              <a:round/>
            </a:ln>
            <a:effectLst/>
          </c:spPr>
          <c:marker>
            <c:symbol val="none"/>
          </c:marker>
          <c:val>
            <c:numRef>
              <c:f>('8YrCalendar'!$E$81,'8YrCalendar'!$H$81,'8YrCalendar'!$K$81,'8YrCalendar'!$N$81,'8YrCalendar'!$Q$81,'8YrCalendar'!$T$81,'8YrCalendar'!$W$81,'8YrCalendar'!$Z$81,'8YrCalendar'!$AC$81,'8YrCalendar'!$AF$81,'8YrCalendar'!$AI$81,'8YrCalendar'!$AL$81,'8YrCalendar'!$E$146,'8YrCalendar'!$H$146,'8YrCalendar'!$K$146,'8YrCalendar'!$N$146,'8YrCalendar'!$Q$146,'8YrCalendar'!$T$146,'8YrCalendar'!$W$146,'8YrCalendar'!$Z$146,'8YrCalendar'!$AC$146,'8YrCalendar'!$AF$146,'8YrCalendar'!$AI$146,'8YrCalendar'!$AL$146,'8YrCalendar'!$E$212,'8YrCalendar'!$H$212,'8YrCalendar'!$K$212,'8YrCalendar'!$N$212,'8YrCalendar'!$Q$212,'8YrCalendar'!$T$212,'8YrCalendar'!$W$212,'8YrCalendar'!$Z$212,'8YrCalendar'!$AC$212,'8YrCalendar'!$AF$212,'8YrCalendar'!$AI$212,'8YrCalendar'!$AL$212,'8YrCalendar'!$E$277,'8YrCalendar'!$H$277,'8YrCalendar'!$K$277,'8YrCalendar'!$N$277,'8YrCalendar'!$Q$277,'8YrCalendar'!$T$277,'8YrCalendar'!$W$277,'8YrCalendar'!$Z$277,'8YrCalendar'!$AC$277,'8YrCalendar'!$AF$277,'8YrCalendar'!$AI$277,'8YrCalendar'!$AL$277,'8YrCalendar'!$E$342,'8YrCalendar'!$H$342,'8YrCalendar'!$K$342,'8YrCalendar'!$N$342,'8YrCalendar'!$Q$342,'8YrCalendar'!$T$342,'8YrCalendar'!$W$342,'8YrCalendar'!$Z$342,'8YrCalendar'!$AC$342,'8YrCalendar'!$AF$342,'8YrCalendar'!$AI$342,'8YrCalendar'!$AL$342,'8YrCalendar'!$E$407,'8YrCalendar'!$H$407,'8YrCalendar'!$K$407,'8YrCalendar'!$N$407,'8YrCalendar'!$Q$407,'8YrCalendar'!$T$407,'8YrCalendar'!$W$407,'8YrCalendar'!$Z$407,'8YrCalendar'!$AC$407,'8YrCalendar'!$AF$407,'8YrCalendar'!$AI$407,'8YrCalendar'!$AL$407,'8YrCalendar'!$E$472,'8YrCalendar'!$H$472,'8YrCalendar'!$K$472,'8YrCalendar'!$N$472,'8YrCalendar'!$Q$472,'8YrCalendar'!$T$472,'8YrCalendar'!$W$472,'8YrCalendar'!$Z$472,'8YrCalendar'!$AC$472,'8YrCalendar'!$AF$472,'8YrCalendar'!$AI$472,'8YrCalendar'!$AL$472,'8YrCalendar'!$E$537,'8YrCalendar'!$H$537,'8YrCalendar'!$K$537,'8YrCalendar'!$N$537,'8YrCalendar'!$Q$537,'8YrCalendar'!$T$537,'8YrCalendar'!$W$537,'8YrCalendar'!$Z$537,'8YrCalendar'!$AC$537,'8YrCalendar'!$AF$537,'8YrCalendar'!$AI$537,'8YrCalendar'!$AL$537)</c:f>
              <c:numCache>
                <c:formatCode>_("$"* #,##0.00_);_("$"* \(#,##0.00\);_("$"* "-"??_);_(@_)</c:formatCode>
                <c:ptCount val="96"/>
                <c:pt idx="0">
                  <c:v>15109.746666666666</c:v>
                </c:pt>
                <c:pt idx="1">
                  <c:v>12859.746666666666</c:v>
                </c:pt>
                <c:pt idx="2">
                  <c:v>13059.746666666666</c:v>
                </c:pt>
                <c:pt idx="3">
                  <c:v>12859.746666666666</c:v>
                </c:pt>
                <c:pt idx="4">
                  <c:v>12859.746666666666</c:v>
                </c:pt>
                <c:pt idx="5">
                  <c:v>13059.746666666666</c:v>
                </c:pt>
                <c:pt idx="6">
                  <c:v>12859.746666666666</c:v>
                </c:pt>
                <c:pt idx="7">
                  <c:v>12859.746666666666</c:v>
                </c:pt>
                <c:pt idx="8">
                  <c:v>13059.746666666666</c:v>
                </c:pt>
                <c:pt idx="9">
                  <c:v>12859.746666666666</c:v>
                </c:pt>
                <c:pt idx="10">
                  <c:v>12859.746666666666</c:v>
                </c:pt>
                <c:pt idx="11">
                  <c:v>13059.746666666666</c:v>
                </c:pt>
                <c:pt idx="12">
                  <c:v>15109.746666666666</c:v>
                </c:pt>
                <c:pt idx="13">
                  <c:v>12859.746666666666</c:v>
                </c:pt>
                <c:pt idx="14">
                  <c:v>13059.746666666666</c:v>
                </c:pt>
                <c:pt idx="15">
                  <c:v>12859.746666666666</c:v>
                </c:pt>
                <c:pt idx="16">
                  <c:v>12859.746666666666</c:v>
                </c:pt>
                <c:pt idx="17">
                  <c:v>13059.746666666666</c:v>
                </c:pt>
                <c:pt idx="18">
                  <c:v>12859.746666666666</c:v>
                </c:pt>
                <c:pt idx="19">
                  <c:v>12859.746666666666</c:v>
                </c:pt>
                <c:pt idx="20">
                  <c:v>13059.746666666666</c:v>
                </c:pt>
                <c:pt idx="21">
                  <c:v>12859.746666666666</c:v>
                </c:pt>
                <c:pt idx="22">
                  <c:v>12859.746666666666</c:v>
                </c:pt>
                <c:pt idx="23">
                  <c:v>13059.746666666666</c:v>
                </c:pt>
                <c:pt idx="24">
                  <c:v>15244.746666666666</c:v>
                </c:pt>
                <c:pt idx="25">
                  <c:v>12994.746666666666</c:v>
                </c:pt>
                <c:pt idx="26">
                  <c:v>13194.746666666666</c:v>
                </c:pt>
                <c:pt idx="27">
                  <c:v>12994.746666666666</c:v>
                </c:pt>
                <c:pt idx="28">
                  <c:v>12994.746666666666</c:v>
                </c:pt>
                <c:pt idx="29">
                  <c:v>13194.746666666666</c:v>
                </c:pt>
                <c:pt idx="30">
                  <c:v>12994.746666666666</c:v>
                </c:pt>
                <c:pt idx="31">
                  <c:v>12994.746666666666</c:v>
                </c:pt>
                <c:pt idx="32">
                  <c:v>13194.746666666666</c:v>
                </c:pt>
                <c:pt idx="33">
                  <c:v>12994.746666666666</c:v>
                </c:pt>
                <c:pt idx="34">
                  <c:v>12994.746666666666</c:v>
                </c:pt>
                <c:pt idx="35">
                  <c:v>13194.746666666666</c:v>
                </c:pt>
                <c:pt idx="36">
                  <c:v>15379.746666666666</c:v>
                </c:pt>
                <c:pt idx="37">
                  <c:v>13129.746666666666</c:v>
                </c:pt>
                <c:pt idx="38">
                  <c:v>13329.746666666666</c:v>
                </c:pt>
                <c:pt idx="39">
                  <c:v>13129.746666666666</c:v>
                </c:pt>
                <c:pt idx="40">
                  <c:v>13129.746666666666</c:v>
                </c:pt>
                <c:pt idx="41">
                  <c:v>13329.746666666666</c:v>
                </c:pt>
                <c:pt idx="42">
                  <c:v>13129.746666666666</c:v>
                </c:pt>
                <c:pt idx="43">
                  <c:v>13129.746666666666</c:v>
                </c:pt>
                <c:pt idx="44">
                  <c:v>13329.746666666666</c:v>
                </c:pt>
                <c:pt idx="45">
                  <c:v>13129.746666666666</c:v>
                </c:pt>
                <c:pt idx="46">
                  <c:v>13129.746666666666</c:v>
                </c:pt>
                <c:pt idx="47">
                  <c:v>13329.746666666666</c:v>
                </c:pt>
                <c:pt idx="48">
                  <c:v>15649.746666666666</c:v>
                </c:pt>
                <c:pt idx="49">
                  <c:v>13399.746666666666</c:v>
                </c:pt>
                <c:pt idx="50">
                  <c:v>13599.746666666666</c:v>
                </c:pt>
                <c:pt idx="51">
                  <c:v>13399.746666666666</c:v>
                </c:pt>
                <c:pt idx="52">
                  <c:v>13399.746666666666</c:v>
                </c:pt>
                <c:pt idx="53">
                  <c:v>13599.746666666666</c:v>
                </c:pt>
                <c:pt idx="54">
                  <c:v>13399.746666666666</c:v>
                </c:pt>
                <c:pt idx="55">
                  <c:v>13399.746666666666</c:v>
                </c:pt>
                <c:pt idx="56">
                  <c:v>13599.746666666666</c:v>
                </c:pt>
                <c:pt idx="57">
                  <c:v>13399.746666666666</c:v>
                </c:pt>
                <c:pt idx="58">
                  <c:v>13399.746666666666</c:v>
                </c:pt>
                <c:pt idx="59">
                  <c:v>13599.746666666666</c:v>
                </c:pt>
                <c:pt idx="60">
                  <c:v>15784.746666666666</c:v>
                </c:pt>
                <c:pt idx="61">
                  <c:v>13534.746666666666</c:v>
                </c:pt>
                <c:pt idx="62">
                  <c:v>13734.746666666666</c:v>
                </c:pt>
                <c:pt idx="63">
                  <c:v>13534.746666666666</c:v>
                </c:pt>
                <c:pt idx="64">
                  <c:v>13534.746666666666</c:v>
                </c:pt>
                <c:pt idx="65">
                  <c:v>13734.746666666666</c:v>
                </c:pt>
                <c:pt idx="66">
                  <c:v>13534.746666666666</c:v>
                </c:pt>
                <c:pt idx="67">
                  <c:v>13534.746666666666</c:v>
                </c:pt>
                <c:pt idx="68">
                  <c:v>13734.746666666666</c:v>
                </c:pt>
                <c:pt idx="69">
                  <c:v>13534.746666666666</c:v>
                </c:pt>
                <c:pt idx="70">
                  <c:v>13534.746666666666</c:v>
                </c:pt>
                <c:pt idx="71">
                  <c:v>13734.746666666666</c:v>
                </c:pt>
                <c:pt idx="72">
                  <c:v>15868.08</c:v>
                </c:pt>
                <c:pt idx="73">
                  <c:v>13618.08</c:v>
                </c:pt>
                <c:pt idx="74">
                  <c:v>13818.08</c:v>
                </c:pt>
                <c:pt idx="75">
                  <c:v>13618.08</c:v>
                </c:pt>
                <c:pt idx="76">
                  <c:v>13618.08</c:v>
                </c:pt>
                <c:pt idx="77">
                  <c:v>13818.08</c:v>
                </c:pt>
                <c:pt idx="78">
                  <c:v>13618.08</c:v>
                </c:pt>
                <c:pt idx="79">
                  <c:v>13618.08</c:v>
                </c:pt>
                <c:pt idx="80">
                  <c:v>13818.08</c:v>
                </c:pt>
                <c:pt idx="81">
                  <c:v>13618.08</c:v>
                </c:pt>
                <c:pt idx="82">
                  <c:v>13618.08</c:v>
                </c:pt>
                <c:pt idx="83">
                  <c:v>13818.08</c:v>
                </c:pt>
                <c:pt idx="84">
                  <c:v>15868.08</c:v>
                </c:pt>
                <c:pt idx="85">
                  <c:v>13618.08</c:v>
                </c:pt>
                <c:pt idx="86">
                  <c:v>13818.08</c:v>
                </c:pt>
                <c:pt idx="87">
                  <c:v>13618.08</c:v>
                </c:pt>
                <c:pt idx="88">
                  <c:v>13618.08</c:v>
                </c:pt>
                <c:pt idx="89">
                  <c:v>13818.08</c:v>
                </c:pt>
                <c:pt idx="90">
                  <c:v>13618.08</c:v>
                </c:pt>
                <c:pt idx="91">
                  <c:v>13618.08</c:v>
                </c:pt>
                <c:pt idx="92">
                  <c:v>13818.08</c:v>
                </c:pt>
                <c:pt idx="93">
                  <c:v>13618.08</c:v>
                </c:pt>
                <c:pt idx="94">
                  <c:v>13618.08</c:v>
                </c:pt>
                <c:pt idx="95">
                  <c:v>13818.08</c:v>
                </c:pt>
              </c:numCache>
            </c:numRef>
          </c:val>
          <c:smooth val="0"/>
          <c:extLst>
            <c:ext xmlns:c16="http://schemas.microsoft.com/office/drawing/2014/chart" uri="{C3380CC4-5D6E-409C-BE32-E72D297353CC}">
              <c16:uniqueId val="{00000002-9089-44BD-ABED-4B61228C9E61}"/>
            </c:ext>
          </c:extLst>
        </c:ser>
        <c:dLbls>
          <c:showLegendKey val="0"/>
          <c:showVal val="0"/>
          <c:showCatName val="0"/>
          <c:showSerName val="0"/>
          <c:showPercent val="0"/>
          <c:showBubbleSize val="0"/>
        </c:dLbls>
        <c:smooth val="0"/>
        <c:axId val="457764064"/>
        <c:axId val="457766360"/>
      </c:lineChart>
      <c:catAx>
        <c:axId val="457764064"/>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766360"/>
        <c:crosses val="autoZero"/>
        <c:auto val="1"/>
        <c:lblAlgn val="ctr"/>
        <c:lblOffset val="100"/>
        <c:noMultiLvlLbl val="0"/>
      </c:catAx>
      <c:valAx>
        <c:axId val="4577663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7640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Cost Breakdown Per Sales Unit</a:t>
            </a:r>
          </a:p>
        </c:rich>
      </c:tx>
      <c:layout>
        <c:manualLayout>
          <c:xMode val="edge"/>
          <c:yMode val="edge"/>
          <c:x val="0.16723562152133581"/>
          <c:y val="1.45985345523556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SugarFreeJam!$G$10</c:f>
              <c:strCache>
                <c:ptCount val="1"/>
                <c:pt idx="0">
                  <c:v>Client Cost: </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CD40-4430-9C8E-D5F10CF6F78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D40-4430-9C8E-D5F10CF6F78A}"/>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CD40-4430-9C8E-D5F10CF6F78A}"/>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CD40-4430-9C8E-D5F10CF6F78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SugarFreeJam!$G$12:$G$15</c:f>
              <c:strCache>
                <c:ptCount val="4"/>
                <c:pt idx="0">
                  <c:v>Labor Cost: </c:v>
                </c:pt>
                <c:pt idx="1">
                  <c:v>Facilities Cost: </c:v>
                </c:pt>
                <c:pt idx="2">
                  <c:v>Packaging Cost: </c:v>
                </c:pt>
                <c:pt idx="3">
                  <c:v>Client Net: </c:v>
                </c:pt>
              </c:strCache>
            </c:strRef>
          </c:cat>
          <c:val>
            <c:numRef>
              <c:f>SugarFreeJam!$I$11:$I$14</c:f>
              <c:numCache>
                <c:formatCode>"$"#,##0.00</c:formatCode>
                <c:ptCount val="4"/>
                <c:pt idx="0">
                  <c:v>1.1316211878009632</c:v>
                </c:pt>
                <c:pt idx="1">
                  <c:v>0.68552701979668274</c:v>
                </c:pt>
                <c:pt idx="2">
                  <c:v>0.6349384697699304</c:v>
                </c:pt>
                <c:pt idx="3">
                  <c:v>1.2</c:v>
                </c:pt>
              </c:numCache>
            </c:numRef>
          </c:val>
          <c:extLst>
            <c:ext xmlns:c16="http://schemas.microsoft.com/office/drawing/2014/chart" uri="{C3380CC4-5D6E-409C-BE32-E72D297353CC}">
              <c16:uniqueId val="{00000008-CD40-4430-9C8E-D5F10CF6F78A}"/>
            </c:ext>
          </c:extLst>
        </c:ser>
        <c:dLbls>
          <c:dLblPos val="outEnd"/>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Cost Breakdown Per Sales Unit</a:t>
            </a:r>
          </a:p>
        </c:rich>
      </c:tx>
      <c:layout>
        <c:manualLayout>
          <c:xMode val="edge"/>
          <c:yMode val="edge"/>
          <c:x val="0.16723562152133581"/>
          <c:y val="1.45985345523556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PickledGarlic!$G$10</c:f>
              <c:strCache>
                <c:ptCount val="1"/>
                <c:pt idx="0">
                  <c:v>Client Cost: </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E625-4F57-A809-7DB60E09072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E625-4F57-A809-7DB60E09072B}"/>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E625-4F57-A809-7DB60E09072B}"/>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E625-4F57-A809-7DB60E09072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PickledGarlic!$G$12:$G$15</c:f>
              <c:strCache>
                <c:ptCount val="4"/>
                <c:pt idx="0">
                  <c:v>Labor: </c:v>
                </c:pt>
                <c:pt idx="1">
                  <c:v>Facilities: </c:v>
                </c:pt>
                <c:pt idx="2">
                  <c:v>Packaging: </c:v>
                </c:pt>
                <c:pt idx="3">
                  <c:v>Client Net: </c:v>
                </c:pt>
              </c:strCache>
            </c:strRef>
          </c:cat>
          <c:val>
            <c:numRef>
              <c:f>PickledGarlic!$I$11:$I$14</c:f>
              <c:numCache>
                <c:formatCode>"$"#,##0.00</c:formatCode>
                <c:ptCount val="4"/>
                <c:pt idx="0">
                  <c:v>3.1344444444444446</c:v>
                </c:pt>
                <c:pt idx="1">
                  <c:v>1.2122592592592591</c:v>
                </c:pt>
                <c:pt idx="2">
                  <c:v>1.1111111111111112</c:v>
                </c:pt>
                <c:pt idx="3">
                  <c:v>0.8</c:v>
                </c:pt>
              </c:numCache>
            </c:numRef>
          </c:val>
          <c:extLst>
            <c:ext xmlns:c16="http://schemas.microsoft.com/office/drawing/2014/chart" uri="{C3380CC4-5D6E-409C-BE32-E72D297353CC}">
              <c16:uniqueId val="{00000008-E625-4F57-A809-7DB60E09072B}"/>
            </c:ext>
          </c:extLst>
        </c:ser>
        <c:dLbls>
          <c:dLblPos val="outEnd"/>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Cost Breakdown Per Sales Unit</a:t>
            </a:r>
          </a:p>
        </c:rich>
      </c:tx>
      <c:layout>
        <c:manualLayout>
          <c:xMode val="edge"/>
          <c:yMode val="edge"/>
          <c:x val="0.16723562152133581"/>
          <c:y val="1.45985345523556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RootVegMedley!$G$10</c:f>
              <c:strCache>
                <c:ptCount val="1"/>
                <c:pt idx="0">
                  <c:v>Client Cost: </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BCB6-4355-9302-4E84B398F854}"/>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BCB6-4355-9302-4E84B398F854}"/>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BCB6-4355-9302-4E84B398F854}"/>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BCB6-4355-9302-4E84B398F8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RootVegMedley!$G$11:$G$14</c:f>
              <c:strCache>
                <c:ptCount val="4"/>
                <c:pt idx="0">
                  <c:v>Ingredients:  </c:v>
                </c:pt>
                <c:pt idx="1">
                  <c:v>Labor: </c:v>
                </c:pt>
                <c:pt idx="2">
                  <c:v>Facilities: </c:v>
                </c:pt>
                <c:pt idx="3">
                  <c:v>Packaging: </c:v>
                </c:pt>
              </c:strCache>
            </c:strRef>
          </c:cat>
          <c:val>
            <c:numRef>
              <c:f>RootVegMedley!$I$11:$I$14</c:f>
              <c:numCache>
                <c:formatCode>"$"#,##0.00</c:formatCode>
                <c:ptCount val="4"/>
                <c:pt idx="0">
                  <c:v>2.2464224013102045</c:v>
                </c:pt>
                <c:pt idx="1">
                  <c:v>1.9514931210907724</c:v>
                </c:pt>
                <c:pt idx="2">
                  <c:v>1.6643864572202747</c:v>
                </c:pt>
                <c:pt idx="3">
                  <c:v>0.23</c:v>
                </c:pt>
              </c:numCache>
            </c:numRef>
          </c:val>
          <c:extLst>
            <c:ext xmlns:c16="http://schemas.microsoft.com/office/drawing/2014/chart" uri="{C3380CC4-5D6E-409C-BE32-E72D297353CC}">
              <c16:uniqueId val="{00000008-BCB6-4355-9302-4E84B398F854}"/>
            </c:ext>
          </c:extLst>
        </c:ser>
        <c:dLbls>
          <c:dLblPos val="outEnd"/>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Plots!$B$5</c:f>
              <c:strCache>
                <c:ptCount val="1"/>
                <c:pt idx="0">
                  <c:v>Office &amp; Conference Room  Rentals:</c:v>
                </c:pt>
              </c:strCache>
            </c:strRef>
          </c:tx>
          <c:spPr>
            <a:solidFill>
              <a:schemeClr val="accent1"/>
            </a:solidFill>
            <a:ln>
              <a:noFill/>
            </a:ln>
            <a:effectLst/>
            <a:sp3d/>
          </c:spPr>
          <c:invertIfNegative val="0"/>
          <c:cat>
            <c:strRef>
              <c:f>Plots!$D$4:$K$4</c:f>
              <c:strCache>
                <c:ptCount val="8"/>
                <c:pt idx="0">
                  <c:v>Year 1</c:v>
                </c:pt>
                <c:pt idx="1">
                  <c:v>Year 2</c:v>
                </c:pt>
                <c:pt idx="2">
                  <c:v>Year 3</c:v>
                </c:pt>
                <c:pt idx="3">
                  <c:v>Year 4</c:v>
                </c:pt>
                <c:pt idx="4">
                  <c:v>Year 5</c:v>
                </c:pt>
                <c:pt idx="5">
                  <c:v>Year 6</c:v>
                </c:pt>
                <c:pt idx="6">
                  <c:v>Year 7</c:v>
                </c:pt>
                <c:pt idx="7">
                  <c:v>Year 8 </c:v>
                </c:pt>
              </c:strCache>
            </c:strRef>
          </c:cat>
          <c:val>
            <c:numRef>
              <c:f>Plots!$D$5:$K$5</c:f>
              <c:numCache>
                <c:formatCode>_("$"* #,##0_);_("$"* \(#,##0\);_("$"* "-"_);_(@_)</c:formatCode>
                <c:ptCount val="8"/>
                <c:pt idx="0">
                  <c:v>7104</c:v>
                </c:pt>
                <c:pt idx="1">
                  <c:v>14976</c:v>
                </c:pt>
                <c:pt idx="2">
                  <c:v>14976</c:v>
                </c:pt>
                <c:pt idx="3">
                  <c:v>18432</c:v>
                </c:pt>
                <c:pt idx="4">
                  <c:v>21204</c:v>
                </c:pt>
                <c:pt idx="5">
                  <c:v>23508</c:v>
                </c:pt>
                <c:pt idx="6">
                  <c:v>23976</c:v>
                </c:pt>
                <c:pt idx="7">
                  <c:v>24072</c:v>
                </c:pt>
              </c:numCache>
            </c:numRef>
          </c:val>
          <c:extLst>
            <c:ext xmlns:c16="http://schemas.microsoft.com/office/drawing/2014/chart" uri="{C3380CC4-5D6E-409C-BE32-E72D297353CC}">
              <c16:uniqueId val="{00000000-38AC-4A6B-85CF-FC04C2B66C5E}"/>
            </c:ext>
          </c:extLst>
        </c:ser>
        <c:ser>
          <c:idx val="1"/>
          <c:order val="1"/>
          <c:tx>
            <c:strRef>
              <c:f>Plots!$B$6</c:f>
              <c:strCache>
                <c:ptCount val="1"/>
                <c:pt idx="0">
                  <c:v>House-Owned Products: </c:v>
                </c:pt>
              </c:strCache>
            </c:strRef>
          </c:tx>
          <c:spPr>
            <a:solidFill>
              <a:schemeClr val="accent2"/>
            </a:solidFill>
            <a:ln>
              <a:noFill/>
            </a:ln>
            <a:effectLst/>
            <a:sp3d/>
          </c:spPr>
          <c:invertIfNegative val="0"/>
          <c:val>
            <c:numRef>
              <c:f>Plots!$D$6:$K$6</c:f>
              <c:numCache>
                <c:formatCode>_("$"* #,##0_);_("$"* \(#,##0\);_("$"* "-"_);_(@_)</c:formatCode>
                <c:ptCount val="8"/>
                <c:pt idx="0">
                  <c:v>4800</c:v>
                </c:pt>
                <c:pt idx="1">
                  <c:v>9600</c:v>
                </c:pt>
                <c:pt idx="2">
                  <c:v>15661.154</c:v>
                </c:pt>
                <c:pt idx="3">
                  <c:v>12122.308000000001</c:v>
                </c:pt>
                <c:pt idx="4">
                  <c:v>15256.616</c:v>
                </c:pt>
                <c:pt idx="5">
                  <c:v>22680.088359999998</c:v>
                </c:pt>
                <c:pt idx="6">
                  <c:v>45848.176719999996</c:v>
                </c:pt>
                <c:pt idx="7">
                  <c:v>49848.176719999996</c:v>
                </c:pt>
              </c:numCache>
            </c:numRef>
          </c:val>
          <c:extLst>
            <c:ext xmlns:c16="http://schemas.microsoft.com/office/drawing/2014/chart" uri="{C3380CC4-5D6E-409C-BE32-E72D297353CC}">
              <c16:uniqueId val="{00000001-38AC-4A6B-85CF-FC04C2B66C5E}"/>
            </c:ext>
          </c:extLst>
        </c:ser>
        <c:ser>
          <c:idx val="2"/>
          <c:order val="2"/>
          <c:tx>
            <c:strRef>
              <c:f>Plots!$B$7</c:f>
              <c:strCache>
                <c:ptCount val="1"/>
                <c:pt idx="0">
                  <c:v>Processing Facility &amp; Storage Rentals: </c:v>
                </c:pt>
              </c:strCache>
            </c:strRef>
          </c:tx>
          <c:spPr>
            <a:solidFill>
              <a:schemeClr val="accent3"/>
            </a:solidFill>
            <a:ln>
              <a:noFill/>
            </a:ln>
            <a:effectLst/>
            <a:sp3d/>
          </c:spPr>
          <c:invertIfNegative val="0"/>
          <c:val>
            <c:numRef>
              <c:f>Plots!$D$7:$K$7</c:f>
              <c:numCache>
                <c:formatCode>_("$"* #,##0_);_("$"* \(#,##0\);_("$"* "-"_);_(@_)</c:formatCode>
                <c:ptCount val="8"/>
                <c:pt idx="0">
                  <c:v>7020</c:v>
                </c:pt>
                <c:pt idx="1">
                  <c:v>11160</c:v>
                </c:pt>
                <c:pt idx="2">
                  <c:v>11160</c:v>
                </c:pt>
                <c:pt idx="3">
                  <c:v>13080</c:v>
                </c:pt>
                <c:pt idx="4">
                  <c:v>14925</c:v>
                </c:pt>
                <c:pt idx="5">
                  <c:v>24885</c:v>
                </c:pt>
                <c:pt idx="6">
                  <c:v>50520</c:v>
                </c:pt>
                <c:pt idx="7">
                  <c:v>54175</c:v>
                </c:pt>
              </c:numCache>
            </c:numRef>
          </c:val>
          <c:extLst>
            <c:ext xmlns:c16="http://schemas.microsoft.com/office/drawing/2014/chart" uri="{C3380CC4-5D6E-409C-BE32-E72D297353CC}">
              <c16:uniqueId val="{00000002-38AC-4A6B-85CF-FC04C2B66C5E}"/>
            </c:ext>
          </c:extLst>
        </c:ser>
        <c:dLbls>
          <c:showLegendKey val="0"/>
          <c:showVal val="0"/>
          <c:showCatName val="0"/>
          <c:showSerName val="0"/>
          <c:showPercent val="0"/>
          <c:showBubbleSize val="0"/>
        </c:dLbls>
        <c:gapWidth val="150"/>
        <c:shape val="box"/>
        <c:axId val="470504392"/>
        <c:axId val="470503408"/>
        <c:axId val="0"/>
      </c:bar3DChart>
      <c:catAx>
        <c:axId val="47050439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503408"/>
        <c:crosses val="autoZero"/>
        <c:auto val="1"/>
        <c:lblAlgn val="ctr"/>
        <c:lblOffset val="100"/>
        <c:noMultiLvlLbl val="0"/>
      </c:catAx>
      <c:valAx>
        <c:axId val="470503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Anua</a:t>
                </a:r>
                <a:r>
                  <a:rPr lang="en-US" sz="1200" b="1" baseline="0"/>
                  <a:t>l Revenue per Stream</a:t>
                </a:r>
                <a:endParaRPr lang="en-US" sz="1200" b="1"/>
              </a:p>
            </c:rich>
          </c:tx>
          <c:layout>
            <c:manualLayout>
              <c:xMode val="edge"/>
              <c:yMode val="edge"/>
              <c:x val="2.9347914205138378E-2"/>
              <c:y val="0.17983131681710521"/>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504392"/>
        <c:crosses val="autoZero"/>
        <c:crossBetween val="between"/>
      </c:valAx>
      <c:spPr>
        <a:noFill/>
        <a:ln>
          <a:noFill/>
        </a:ln>
        <a:effectLst/>
      </c:spPr>
    </c:plotArea>
    <c:legend>
      <c:legendPos val="b"/>
      <c:layout>
        <c:manualLayout>
          <c:xMode val="edge"/>
          <c:yMode val="edge"/>
          <c:x val="0.11145685102615187"/>
          <c:y val="0.92327187760066576"/>
          <c:w val="0.88854314897384812"/>
          <c:h val="7.6728122399334228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Plots!$B$30</c:f>
              <c:strCache>
                <c:ptCount val="1"/>
                <c:pt idx="0">
                  <c:v>Non-Production Employee Salaries:</c:v>
                </c:pt>
              </c:strCache>
            </c:strRef>
          </c:tx>
          <c:spPr>
            <a:solidFill>
              <a:schemeClr val="accent1"/>
            </a:solidFill>
            <a:ln>
              <a:noFill/>
            </a:ln>
            <a:effectLst/>
            <a:sp3d/>
          </c:spPr>
          <c:invertIfNegative val="0"/>
          <c:cat>
            <c:strRef>
              <c:f>Plots!$D$29:$K$29</c:f>
              <c:strCache>
                <c:ptCount val="8"/>
                <c:pt idx="0">
                  <c:v>Year 1</c:v>
                </c:pt>
                <c:pt idx="1">
                  <c:v>Year 2</c:v>
                </c:pt>
                <c:pt idx="2">
                  <c:v>Year 3</c:v>
                </c:pt>
                <c:pt idx="3">
                  <c:v>Year 4</c:v>
                </c:pt>
                <c:pt idx="4">
                  <c:v>Year 5</c:v>
                </c:pt>
                <c:pt idx="5">
                  <c:v>Year 6</c:v>
                </c:pt>
                <c:pt idx="6">
                  <c:v>Year 7</c:v>
                </c:pt>
                <c:pt idx="7">
                  <c:v>Year 8 </c:v>
                </c:pt>
              </c:strCache>
            </c:strRef>
          </c:cat>
          <c:val>
            <c:numRef>
              <c:f>Plots!$D$30:$K$30</c:f>
              <c:numCache>
                <c:formatCode>_("$"* #,##0_);_("$"* \(#,##0\);_("$"* "-"_);_(@_)</c:formatCode>
                <c:ptCount val="8"/>
                <c:pt idx="0">
                  <c:v>98616.960000000006</c:v>
                </c:pt>
                <c:pt idx="1">
                  <c:v>98616.960000000006</c:v>
                </c:pt>
                <c:pt idx="2">
                  <c:v>98616.960000000006</c:v>
                </c:pt>
                <c:pt idx="3">
                  <c:v>98616.960000000006</c:v>
                </c:pt>
                <c:pt idx="4">
                  <c:v>98616.960000000006</c:v>
                </c:pt>
                <c:pt idx="5">
                  <c:v>98616.960000000006</c:v>
                </c:pt>
                <c:pt idx="6">
                  <c:v>98616.960000000006</c:v>
                </c:pt>
                <c:pt idx="7">
                  <c:v>98616.960000000006</c:v>
                </c:pt>
              </c:numCache>
            </c:numRef>
          </c:val>
          <c:extLst>
            <c:ext xmlns:c16="http://schemas.microsoft.com/office/drawing/2014/chart" uri="{C3380CC4-5D6E-409C-BE32-E72D297353CC}">
              <c16:uniqueId val="{00000000-F996-4473-BEE6-6E20F709BB98}"/>
            </c:ext>
          </c:extLst>
        </c:ser>
        <c:ser>
          <c:idx val="1"/>
          <c:order val="1"/>
          <c:tx>
            <c:strRef>
              <c:f>Plots!$B$31</c:f>
              <c:strCache>
                <c:ptCount val="1"/>
                <c:pt idx="0">
                  <c:v>Building &amp; Utilities: </c:v>
                </c:pt>
              </c:strCache>
            </c:strRef>
          </c:tx>
          <c:spPr>
            <a:solidFill>
              <a:schemeClr val="accent2"/>
            </a:solidFill>
            <a:ln>
              <a:noFill/>
            </a:ln>
            <a:effectLst/>
            <a:sp3d/>
          </c:spPr>
          <c:invertIfNegative val="0"/>
          <c:cat>
            <c:strRef>
              <c:f>Plots!$D$29:$K$29</c:f>
              <c:strCache>
                <c:ptCount val="8"/>
                <c:pt idx="0">
                  <c:v>Year 1</c:v>
                </c:pt>
                <c:pt idx="1">
                  <c:v>Year 2</c:v>
                </c:pt>
                <c:pt idx="2">
                  <c:v>Year 3</c:v>
                </c:pt>
                <c:pt idx="3">
                  <c:v>Year 4</c:v>
                </c:pt>
                <c:pt idx="4">
                  <c:v>Year 5</c:v>
                </c:pt>
                <c:pt idx="5">
                  <c:v>Year 6</c:v>
                </c:pt>
                <c:pt idx="6">
                  <c:v>Year 7</c:v>
                </c:pt>
                <c:pt idx="7">
                  <c:v>Year 8 </c:v>
                </c:pt>
              </c:strCache>
            </c:strRef>
          </c:cat>
          <c:val>
            <c:numRef>
              <c:f>Plots!$D$31:$K$31</c:f>
              <c:numCache>
                <c:formatCode>_("$"* #,##0_);_("$"* \(#,##0\);_("$"* "-"_);_(@_)</c:formatCode>
                <c:ptCount val="8"/>
                <c:pt idx="0">
                  <c:v>27300</c:v>
                </c:pt>
                <c:pt idx="1">
                  <c:v>27300</c:v>
                </c:pt>
                <c:pt idx="2">
                  <c:v>28920</c:v>
                </c:pt>
                <c:pt idx="3">
                  <c:v>30540</c:v>
                </c:pt>
                <c:pt idx="4">
                  <c:v>33780</c:v>
                </c:pt>
                <c:pt idx="5">
                  <c:v>35400</c:v>
                </c:pt>
                <c:pt idx="6">
                  <c:v>35400</c:v>
                </c:pt>
                <c:pt idx="7">
                  <c:v>35400</c:v>
                </c:pt>
              </c:numCache>
            </c:numRef>
          </c:val>
          <c:extLst>
            <c:ext xmlns:c16="http://schemas.microsoft.com/office/drawing/2014/chart" uri="{C3380CC4-5D6E-409C-BE32-E72D297353CC}">
              <c16:uniqueId val="{00000001-F996-4473-BEE6-6E20F709BB98}"/>
            </c:ext>
          </c:extLst>
        </c:ser>
        <c:ser>
          <c:idx val="2"/>
          <c:order val="2"/>
          <c:tx>
            <c:strRef>
              <c:f>Plots!$B$32</c:f>
              <c:strCache>
                <c:ptCount val="1"/>
                <c:pt idx="0">
                  <c:v>Licensing, Insurance, &amp; Services: </c:v>
                </c:pt>
              </c:strCache>
            </c:strRef>
          </c:tx>
          <c:spPr>
            <a:solidFill>
              <a:schemeClr val="accent3"/>
            </a:solidFill>
            <a:ln>
              <a:noFill/>
            </a:ln>
            <a:effectLst/>
            <a:sp3d/>
          </c:spPr>
          <c:invertIfNegative val="0"/>
          <c:cat>
            <c:strRef>
              <c:f>Plots!$D$29:$K$29</c:f>
              <c:strCache>
                <c:ptCount val="8"/>
                <c:pt idx="0">
                  <c:v>Year 1</c:v>
                </c:pt>
                <c:pt idx="1">
                  <c:v>Year 2</c:v>
                </c:pt>
                <c:pt idx="2">
                  <c:v>Year 3</c:v>
                </c:pt>
                <c:pt idx="3">
                  <c:v>Year 4</c:v>
                </c:pt>
                <c:pt idx="4">
                  <c:v>Year 5</c:v>
                </c:pt>
                <c:pt idx="5">
                  <c:v>Year 6</c:v>
                </c:pt>
                <c:pt idx="6">
                  <c:v>Year 7</c:v>
                </c:pt>
                <c:pt idx="7">
                  <c:v>Year 8 </c:v>
                </c:pt>
              </c:strCache>
            </c:strRef>
          </c:cat>
          <c:val>
            <c:numRef>
              <c:f>Plots!$D$32:$K$32</c:f>
              <c:numCache>
                <c:formatCode>_("$"* #,##0_);_("$"* \(#,##0\);_("$"* "-"_);_(@_)</c:formatCode>
                <c:ptCount val="8"/>
                <c:pt idx="0">
                  <c:v>23050</c:v>
                </c:pt>
                <c:pt idx="1">
                  <c:v>14050</c:v>
                </c:pt>
                <c:pt idx="2">
                  <c:v>14050</c:v>
                </c:pt>
                <c:pt idx="3">
                  <c:v>14050</c:v>
                </c:pt>
                <c:pt idx="4">
                  <c:v>14050</c:v>
                </c:pt>
                <c:pt idx="5">
                  <c:v>14050</c:v>
                </c:pt>
                <c:pt idx="6">
                  <c:v>15050</c:v>
                </c:pt>
                <c:pt idx="7">
                  <c:v>15050</c:v>
                </c:pt>
              </c:numCache>
            </c:numRef>
          </c:val>
          <c:extLst>
            <c:ext xmlns:c16="http://schemas.microsoft.com/office/drawing/2014/chart" uri="{C3380CC4-5D6E-409C-BE32-E72D297353CC}">
              <c16:uniqueId val="{00000002-F996-4473-BEE6-6E20F709BB98}"/>
            </c:ext>
          </c:extLst>
        </c:ser>
        <c:ser>
          <c:idx val="3"/>
          <c:order val="3"/>
          <c:tx>
            <c:strRef>
              <c:f>Plots!$B$33</c:f>
              <c:strCache>
                <c:ptCount val="1"/>
                <c:pt idx="0">
                  <c:v>Marketing &amp; Business Development: </c:v>
                </c:pt>
              </c:strCache>
            </c:strRef>
          </c:tx>
          <c:spPr>
            <a:solidFill>
              <a:schemeClr val="accent4"/>
            </a:solidFill>
            <a:ln>
              <a:noFill/>
            </a:ln>
            <a:effectLst/>
            <a:sp3d/>
          </c:spPr>
          <c:invertIfNegative val="0"/>
          <c:cat>
            <c:strRef>
              <c:f>Plots!$D$29:$K$29</c:f>
              <c:strCache>
                <c:ptCount val="8"/>
                <c:pt idx="0">
                  <c:v>Year 1</c:v>
                </c:pt>
                <c:pt idx="1">
                  <c:v>Year 2</c:v>
                </c:pt>
                <c:pt idx="2">
                  <c:v>Year 3</c:v>
                </c:pt>
                <c:pt idx="3">
                  <c:v>Year 4</c:v>
                </c:pt>
                <c:pt idx="4">
                  <c:v>Year 5</c:v>
                </c:pt>
                <c:pt idx="5">
                  <c:v>Year 6</c:v>
                </c:pt>
                <c:pt idx="6">
                  <c:v>Year 7</c:v>
                </c:pt>
                <c:pt idx="7">
                  <c:v>Year 8 </c:v>
                </c:pt>
              </c:strCache>
            </c:strRef>
          </c:cat>
          <c:val>
            <c:numRef>
              <c:f>Plots!$D$33:$K$33</c:f>
              <c:numCache>
                <c:formatCode>_("$"* #,##0_);_("$"* \(#,##0\);_("$"* "-"_);_(@_)</c:formatCode>
                <c:ptCount val="8"/>
                <c:pt idx="0">
                  <c:v>8400</c:v>
                </c:pt>
                <c:pt idx="1">
                  <c:v>8400</c:v>
                </c:pt>
                <c:pt idx="2">
                  <c:v>8400</c:v>
                </c:pt>
                <c:pt idx="3">
                  <c:v>8400</c:v>
                </c:pt>
                <c:pt idx="4">
                  <c:v>8400</c:v>
                </c:pt>
                <c:pt idx="5">
                  <c:v>8400</c:v>
                </c:pt>
                <c:pt idx="6">
                  <c:v>8400</c:v>
                </c:pt>
                <c:pt idx="7">
                  <c:v>8400</c:v>
                </c:pt>
              </c:numCache>
            </c:numRef>
          </c:val>
          <c:extLst>
            <c:ext xmlns:c16="http://schemas.microsoft.com/office/drawing/2014/chart" uri="{C3380CC4-5D6E-409C-BE32-E72D297353CC}">
              <c16:uniqueId val="{00000003-F996-4473-BEE6-6E20F709BB98}"/>
            </c:ext>
          </c:extLst>
        </c:ser>
        <c:dLbls>
          <c:showLegendKey val="0"/>
          <c:showVal val="0"/>
          <c:showCatName val="0"/>
          <c:showSerName val="0"/>
          <c:showPercent val="0"/>
          <c:showBubbleSize val="0"/>
        </c:dLbls>
        <c:gapWidth val="150"/>
        <c:shape val="box"/>
        <c:axId val="476478184"/>
        <c:axId val="476481464"/>
        <c:axId val="0"/>
      </c:bar3DChart>
      <c:catAx>
        <c:axId val="4764781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6481464"/>
        <c:crosses val="autoZero"/>
        <c:auto val="1"/>
        <c:lblAlgn val="ctr"/>
        <c:lblOffset val="100"/>
        <c:noMultiLvlLbl val="0"/>
      </c:catAx>
      <c:valAx>
        <c:axId val="47648146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6478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7"/>
          <c:order val="0"/>
          <c:tx>
            <c:strRef>
              <c:f>Plots!$B$36</c:f>
              <c:strCache>
                <c:ptCount val="1"/>
                <c:pt idx="0">
                  <c:v>Annual Profit/Loss (Large Configuration): </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[1]Plots!$D$29:$K$29</c:f>
              <c:strCache>
                <c:ptCount val="8"/>
                <c:pt idx="0">
                  <c:v>Year 1</c:v>
                </c:pt>
                <c:pt idx="1">
                  <c:v>Year 2</c:v>
                </c:pt>
                <c:pt idx="2">
                  <c:v>Year 3</c:v>
                </c:pt>
                <c:pt idx="3">
                  <c:v>Year 4</c:v>
                </c:pt>
                <c:pt idx="4">
                  <c:v>Year 5</c:v>
                </c:pt>
                <c:pt idx="5">
                  <c:v>Year 6</c:v>
                </c:pt>
                <c:pt idx="6">
                  <c:v>Year 7</c:v>
                </c:pt>
                <c:pt idx="7">
                  <c:v>Year 8 </c:v>
                </c:pt>
              </c:strCache>
            </c:strRef>
          </c:cat>
          <c:val>
            <c:numRef>
              <c:f>Plots!$D$36:$K$36</c:f>
              <c:numCache>
                <c:formatCode>_("$"* #,##0_);_("$"* \(#,##0\);_("$"* "-"_);_(@_)</c:formatCode>
                <c:ptCount val="8"/>
                <c:pt idx="0">
                  <c:v>-138442.96000000002</c:v>
                </c:pt>
                <c:pt idx="1">
                  <c:v>-112630.96000000002</c:v>
                </c:pt>
                <c:pt idx="2">
                  <c:v>-108189.80600000001</c:v>
                </c:pt>
                <c:pt idx="3">
                  <c:v>-107972.65200000002</c:v>
                </c:pt>
                <c:pt idx="4">
                  <c:v>-103461.34400000001</c:v>
                </c:pt>
                <c:pt idx="5">
                  <c:v>-85393.871640000027</c:v>
                </c:pt>
                <c:pt idx="6">
                  <c:v>-37122.783280000032</c:v>
                </c:pt>
                <c:pt idx="7">
                  <c:v>-29371.783280000032</c:v>
                </c:pt>
              </c:numCache>
            </c:numRef>
          </c:val>
          <c:smooth val="0"/>
          <c:extLst>
            <c:ext xmlns:c16="http://schemas.microsoft.com/office/drawing/2014/chart" uri="{C3380CC4-5D6E-409C-BE32-E72D297353CC}">
              <c16:uniqueId val="{00000000-8BED-4E69-A775-1D54A3E6D36C}"/>
            </c:ext>
          </c:extLst>
        </c:ser>
        <c:dLbls>
          <c:showLegendKey val="0"/>
          <c:showVal val="0"/>
          <c:showCatName val="0"/>
          <c:showSerName val="0"/>
          <c:showPercent val="0"/>
          <c:showBubbleSize val="0"/>
        </c:dLbls>
        <c:marker val="1"/>
        <c:smooth val="0"/>
        <c:axId val="398117248"/>
        <c:axId val="398116592"/>
      </c:lineChart>
      <c:catAx>
        <c:axId val="398117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8116592"/>
        <c:crosses val="autoZero"/>
        <c:auto val="1"/>
        <c:lblAlgn val="ctr"/>
        <c:lblOffset val="100"/>
        <c:noMultiLvlLbl val="0"/>
      </c:catAx>
      <c:valAx>
        <c:axId val="39811659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81172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7"/>
          <c:order val="0"/>
          <c:tx>
            <c:strRef>
              <c:f>Plots!$B$37</c:f>
              <c:strCache>
                <c:ptCount val="1"/>
                <c:pt idx="0">
                  <c:v>Total Cumulative Profit/Loss (Large Configuration):</c:v>
                </c:pt>
              </c:strCache>
            </c:strRef>
          </c:tx>
          <c:spPr>
            <a:ln w="28575" cap="rnd">
              <a:solidFill>
                <a:srgbClr val="FF0000"/>
              </a:solidFill>
              <a:round/>
            </a:ln>
            <a:effectLst/>
          </c:spPr>
          <c:marker>
            <c:symbol val="circle"/>
            <c:size val="5"/>
            <c:spPr>
              <a:solidFill>
                <a:srgbClr val="FF0000"/>
              </a:solidFill>
              <a:ln w="9525">
                <a:noFill/>
              </a:ln>
              <a:effectLst/>
            </c:spPr>
          </c:marker>
          <c:cat>
            <c:strRef>
              <c:f>Plots!$C$29:$K$29</c:f>
              <c:strCache>
                <c:ptCount val="9"/>
                <c:pt idx="0">
                  <c:v>Year 0</c:v>
                </c:pt>
                <c:pt idx="1">
                  <c:v>Year 1</c:v>
                </c:pt>
                <c:pt idx="2">
                  <c:v>Year 2</c:v>
                </c:pt>
                <c:pt idx="3">
                  <c:v>Year 3</c:v>
                </c:pt>
                <c:pt idx="4">
                  <c:v>Year 4</c:v>
                </c:pt>
                <c:pt idx="5">
                  <c:v>Year 5</c:v>
                </c:pt>
                <c:pt idx="6">
                  <c:v>Year 6</c:v>
                </c:pt>
                <c:pt idx="7">
                  <c:v>Year 7</c:v>
                </c:pt>
                <c:pt idx="8">
                  <c:v>Year 8 </c:v>
                </c:pt>
              </c:strCache>
            </c:strRef>
          </c:cat>
          <c:val>
            <c:numRef>
              <c:f>Plots!$C$37:$K$37</c:f>
              <c:numCache>
                <c:formatCode>_("$"* #,##0_);_("$"* \(#,##0\);_("$"* "-"_);_(@_)</c:formatCode>
                <c:ptCount val="9"/>
                <c:pt idx="0">
                  <c:v>-1405000</c:v>
                </c:pt>
                <c:pt idx="1">
                  <c:v>-1543442.96</c:v>
                </c:pt>
                <c:pt idx="2">
                  <c:v>-1656073.92</c:v>
                </c:pt>
                <c:pt idx="3">
                  <c:v>-1764263.726</c:v>
                </c:pt>
                <c:pt idx="4">
                  <c:v>-1872236.378</c:v>
                </c:pt>
                <c:pt idx="5">
                  <c:v>-1975697.7220000001</c:v>
                </c:pt>
                <c:pt idx="6">
                  <c:v>-2061091.5936400001</c:v>
                </c:pt>
                <c:pt idx="7">
                  <c:v>-2098214.3769200002</c:v>
                </c:pt>
                <c:pt idx="8">
                  <c:v>-2127586.1602000003</c:v>
                </c:pt>
              </c:numCache>
            </c:numRef>
          </c:val>
          <c:smooth val="0"/>
          <c:extLst>
            <c:ext xmlns:c16="http://schemas.microsoft.com/office/drawing/2014/chart" uri="{C3380CC4-5D6E-409C-BE32-E72D297353CC}">
              <c16:uniqueId val="{00000000-3862-4E36-91BF-88348D106AFE}"/>
            </c:ext>
          </c:extLst>
        </c:ser>
        <c:dLbls>
          <c:showLegendKey val="0"/>
          <c:showVal val="0"/>
          <c:showCatName val="0"/>
          <c:showSerName val="0"/>
          <c:showPercent val="0"/>
          <c:showBubbleSize val="0"/>
        </c:dLbls>
        <c:marker val="1"/>
        <c:smooth val="0"/>
        <c:axId val="398117248"/>
        <c:axId val="398116592"/>
      </c:lineChart>
      <c:catAx>
        <c:axId val="398117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8116592"/>
        <c:crosses val="autoZero"/>
        <c:auto val="1"/>
        <c:lblAlgn val="ctr"/>
        <c:lblOffset val="100"/>
        <c:noMultiLvlLbl val="0"/>
      </c:catAx>
      <c:valAx>
        <c:axId val="39811659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81172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Farmer Revenue Total in Year 8: $33,000</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Plots!$J$44</c:f>
              <c:strCache>
                <c:ptCount val="1"/>
                <c:pt idx="0">
                  <c:v>Farmer Revenue</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AE04-4856-8618-2B30A39BE26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E04-4856-8618-2B30A39BE266}"/>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AE04-4856-8618-2B30A39BE266}"/>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AE04-4856-8618-2B30A39BE266}"/>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AE04-4856-8618-2B30A39BE266}"/>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AE04-4856-8618-2B30A39BE26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Plots!$H$45:$H$50</c:f>
              <c:strCache>
                <c:ptCount val="6"/>
                <c:pt idx="0">
                  <c:v>RootVegMedley</c:v>
                </c:pt>
                <c:pt idx="1">
                  <c:v>FrozenBrocolli</c:v>
                </c:pt>
                <c:pt idx="2">
                  <c:v>FrozenCornOnTheCob</c:v>
                </c:pt>
                <c:pt idx="3">
                  <c:v>PickledGarlic</c:v>
                </c:pt>
                <c:pt idx="4">
                  <c:v>SugarFreeJam</c:v>
                </c:pt>
                <c:pt idx="5">
                  <c:v>FrozenMeals</c:v>
                </c:pt>
              </c:strCache>
            </c:strRef>
          </c:cat>
          <c:val>
            <c:numRef>
              <c:f>Plots!$J$45:$J$50</c:f>
              <c:numCache>
                <c:formatCode>_("$"* #,##0_);_("$"* \(#,##0\);_("$"* "-"_);_(@_)</c:formatCode>
                <c:ptCount val="6"/>
                <c:pt idx="0">
                  <c:v>2646.2675527721085</c:v>
                </c:pt>
                <c:pt idx="1">
                  <c:v>7733.2635714299022</c:v>
                </c:pt>
                <c:pt idx="2">
                  <c:v>1737.3440380542527</c:v>
                </c:pt>
                <c:pt idx="3">
                  <c:v>6770.4000000000015</c:v>
                </c:pt>
                <c:pt idx="4">
                  <c:v>8428.7999999999975</c:v>
                </c:pt>
                <c:pt idx="5">
                  <c:v>5799.9476785724264</c:v>
                </c:pt>
              </c:numCache>
            </c:numRef>
          </c:val>
          <c:extLst>
            <c:ext xmlns:c16="http://schemas.microsoft.com/office/drawing/2014/chart" uri="{C3380CC4-5D6E-409C-BE32-E72D297353CC}">
              <c16:uniqueId val="{00000004-E747-411B-A4B6-0765BEDC0F5A}"/>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4347817879231981"/>
          <c:y val="0.26755792487661528"/>
          <c:w val="0.23443728721296134"/>
          <c:h val="0.48445315149003504"/>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4094956338550164"/>
          <c:y val="2.7777777777777776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'8YrCalendar'!$AN$475:$AO$475</c:f>
              <c:strCache>
                <c:ptCount val="1"/>
                <c:pt idx="0">
                  <c:v>Year 8 Total Revenue Breakdown</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9EDD-4949-8964-DF14FDD69444}"/>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EDD-4949-8964-DF14FDD69444}"/>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9EDD-4949-8964-DF14FDD69444}"/>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'8YrCalendar'!$AN$476:$AN$478</c:f>
              <c:strCache>
                <c:ptCount val="3"/>
                <c:pt idx="0">
                  <c:v>Office &amp; Conference Room Rentals</c:v>
                </c:pt>
                <c:pt idx="1">
                  <c:v>House-Owned Products</c:v>
                </c:pt>
                <c:pt idx="2">
                  <c:v>Processing Facility &amp; Storage Rentals</c:v>
                </c:pt>
              </c:strCache>
            </c:strRef>
          </c:cat>
          <c:val>
            <c:numRef>
              <c:f>'8YrCalendar'!$AO$476:$AO$478</c:f>
              <c:numCache>
                <c:formatCode>_("$"* #,##0.00_);_("$"* \(#,##0.00\);_("$"* "-"??_);_(@_)</c:formatCode>
                <c:ptCount val="3"/>
                <c:pt idx="0">
                  <c:v>24072</c:v>
                </c:pt>
                <c:pt idx="1">
                  <c:v>49848.176719999996</c:v>
                </c:pt>
                <c:pt idx="2">
                  <c:v>54175</c:v>
                </c:pt>
              </c:numCache>
            </c:numRef>
          </c:val>
          <c:extLst>
            <c:ext xmlns:c16="http://schemas.microsoft.com/office/drawing/2014/chart" uri="{C3380CC4-5D6E-409C-BE32-E72D297353CC}">
              <c16:uniqueId val="{00000000-7C42-4DC5-AC57-DCCE176F1E30}"/>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0.59254151125846122"/>
          <c:y val="0.40688210848643919"/>
          <c:w val="0.40044094488188975"/>
          <c:h val="0.31831911636045496"/>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Cost Breakdown Per Sales Unit</a:t>
            </a:r>
          </a:p>
        </c:rich>
      </c:tx>
      <c:layout>
        <c:manualLayout>
          <c:xMode val="edge"/>
          <c:yMode val="edge"/>
          <c:x val="0.16723562152133581"/>
          <c:y val="1.45985345523556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ECCD-4E51-B1C2-5E93F22F927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ECCD-4E51-B1C2-5E93F22F927E}"/>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ECCD-4E51-B1C2-5E93F22F927E}"/>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ECCD-4E51-B1C2-5E93F22F927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FrozenCornOnTheCob!$G$11:$G$14</c:f>
              <c:strCache>
                <c:ptCount val="4"/>
                <c:pt idx="0">
                  <c:v>Ingredients:  </c:v>
                </c:pt>
                <c:pt idx="1">
                  <c:v>Labor: </c:v>
                </c:pt>
                <c:pt idx="2">
                  <c:v>Facilities: </c:v>
                </c:pt>
                <c:pt idx="3">
                  <c:v>Packaging: </c:v>
                </c:pt>
              </c:strCache>
            </c:strRef>
          </c:cat>
          <c:val>
            <c:numRef>
              <c:f>FrozenCornOnTheCob!$I$11:$I$14</c:f>
              <c:numCache>
                <c:formatCode>"$"#,##0.00</c:formatCode>
                <c:ptCount val="4"/>
                <c:pt idx="0">
                  <c:v>2.496</c:v>
                </c:pt>
                <c:pt idx="1">
                  <c:v>2.0468977777777777</c:v>
                </c:pt>
                <c:pt idx="2">
                  <c:v>1.2666666666666666</c:v>
                </c:pt>
                <c:pt idx="3">
                  <c:v>0.23</c:v>
                </c:pt>
              </c:numCache>
            </c:numRef>
          </c:val>
          <c:extLst>
            <c:ext xmlns:c16="http://schemas.microsoft.com/office/drawing/2014/chart" uri="{C3380CC4-5D6E-409C-BE32-E72D297353CC}">
              <c16:uniqueId val="{00000008-ECCD-4E51-B1C2-5E93F22F927E}"/>
            </c:ext>
          </c:extLst>
        </c:ser>
        <c:dLbls>
          <c:dLblPos val="outEnd"/>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Cost Breakdown Per Sales Unit</a:t>
            </a:r>
          </a:p>
        </c:rich>
      </c:tx>
      <c:layout>
        <c:manualLayout>
          <c:xMode val="edge"/>
          <c:yMode val="edge"/>
          <c:x val="0.16723562152133581"/>
          <c:y val="1.45985345523556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35EC-484B-B8A1-1336DEFE7FB2}"/>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62B6-439F-AE21-FD90BFB55232}"/>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35EC-484B-B8A1-1336DEFE7FB2}"/>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35EC-484B-B8A1-1336DEFE7FB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FrozenBroccoli!$G$11:$G$14</c:f>
              <c:strCache>
                <c:ptCount val="4"/>
                <c:pt idx="0">
                  <c:v>Ingredients:  </c:v>
                </c:pt>
                <c:pt idx="1">
                  <c:v>Labor: </c:v>
                </c:pt>
                <c:pt idx="2">
                  <c:v>Facilities: </c:v>
                </c:pt>
                <c:pt idx="3">
                  <c:v>Packaging: </c:v>
                </c:pt>
              </c:strCache>
            </c:strRef>
          </c:cat>
          <c:val>
            <c:numRef>
              <c:f>FrozenBroccoli!$I$11:$I$14</c:f>
              <c:numCache>
                <c:formatCode>"$"#,##0.00</c:formatCode>
                <c:ptCount val="4"/>
                <c:pt idx="0">
                  <c:v>3.5201149425287359</c:v>
                </c:pt>
                <c:pt idx="1">
                  <c:v>2.3953544061302683</c:v>
                </c:pt>
                <c:pt idx="2">
                  <c:v>0.78085957021489261</c:v>
                </c:pt>
                <c:pt idx="3">
                  <c:v>0.23</c:v>
                </c:pt>
              </c:numCache>
            </c:numRef>
          </c:val>
          <c:extLst>
            <c:ext xmlns:c16="http://schemas.microsoft.com/office/drawing/2014/chart" uri="{C3380CC4-5D6E-409C-BE32-E72D297353CC}">
              <c16:uniqueId val="{00000000-62B6-439F-AE21-FD90BFB55232}"/>
            </c:ext>
          </c:extLst>
        </c:ser>
        <c:dLbls>
          <c:dLblPos val="outEnd"/>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25400</xdr:rowOff>
    </xdr:from>
    <xdr:to>
      <xdr:col>37</xdr:col>
      <xdr:colOff>698499</xdr:colOff>
      <xdr:row>11</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346074</xdr:colOff>
      <xdr:row>10</xdr:row>
      <xdr:rowOff>6350</xdr:rowOff>
    </xdr:from>
    <xdr:to>
      <xdr:col>11</xdr:col>
      <xdr:colOff>596899</xdr:colOff>
      <xdr:row>27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206375</xdr:colOff>
      <xdr:row>14</xdr:row>
      <xdr:rowOff>76200</xdr:rowOff>
    </xdr:from>
    <xdr:to>
      <xdr:col>20</xdr:col>
      <xdr:colOff>511175</xdr:colOff>
      <xdr:row>29</xdr:row>
      <xdr:rowOff>57150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40</xdr:row>
      <xdr:rowOff>25400</xdr:rowOff>
    </xdr:from>
    <xdr:to>
      <xdr:col>6</xdr:col>
      <xdr:colOff>701675</xdr:colOff>
      <xdr:row>54</xdr:row>
      <xdr:rowOff>82550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56</xdr:row>
      <xdr:rowOff>25400</xdr:rowOff>
    </xdr:from>
    <xdr:to>
      <xdr:col>6</xdr:col>
      <xdr:colOff>701675</xdr:colOff>
      <xdr:row>70</xdr:row>
      <xdr:rowOff>82550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12699</xdr:colOff>
      <xdr:row>56</xdr:row>
      <xdr:rowOff>12700</xdr:rowOff>
    </xdr:from>
    <xdr:to>
      <xdr:col>12</xdr:col>
      <xdr:colOff>66674</xdr:colOff>
      <xdr:row>70</xdr:row>
      <xdr:rowOff>88900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44450</xdr:colOff>
      <xdr:row>72</xdr:row>
      <xdr:rowOff>31750</xdr:rowOff>
    </xdr:from>
    <xdr:to>
      <xdr:col>7</xdr:col>
      <xdr:colOff>488950</xdr:colOff>
      <xdr:row>86</xdr:row>
      <xdr:rowOff>139700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12700</xdr:colOff>
      <xdr:row>23</xdr:row>
      <xdr:rowOff>3809</xdr:rowOff>
    </xdr:from>
    <xdr:to>
      <xdr:col>11</xdr:col>
      <xdr:colOff>12700</xdr:colOff>
      <xdr:row>40</xdr:row>
      <xdr:rowOff>44450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12700</xdr:colOff>
      <xdr:row>23</xdr:row>
      <xdr:rowOff>3809</xdr:rowOff>
    </xdr:from>
    <xdr:to>
      <xdr:col>11</xdr:col>
      <xdr:colOff>12700</xdr:colOff>
      <xdr:row>40</xdr:row>
      <xdr:rowOff>44450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142240</xdr:colOff>
      <xdr:row>24</xdr:row>
      <xdr:rowOff>5080</xdr:rowOff>
    </xdr:from>
    <xdr:to>
      <xdr:col>10</xdr:col>
      <xdr:colOff>635000</xdr:colOff>
      <xdr:row>41</xdr:row>
      <xdr:rowOff>67311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10160</xdr:colOff>
      <xdr:row>23</xdr:row>
      <xdr:rowOff>15240</xdr:rowOff>
    </xdr:from>
    <xdr:to>
      <xdr:col>11</xdr:col>
      <xdr:colOff>5080</xdr:colOff>
      <xdr:row>41</xdr:row>
      <xdr:rowOff>77471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5080</xdr:colOff>
      <xdr:row>23</xdr:row>
      <xdr:rowOff>20320</xdr:rowOff>
    </xdr:from>
    <xdr:to>
      <xdr:col>11</xdr:col>
      <xdr:colOff>5080</xdr:colOff>
      <xdr:row>41</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1496_Project_RevenueStreamsWorksheet_SmallConfig_9-19-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1496-FinancialProjectionsSpreadsheet_WIP_8-1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Streams"/>
      <sheetName val="8YrCalendar"/>
      <sheetName val="Plots"/>
      <sheetName val="Payroll"/>
      <sheetName val="RevenueStreams_Old"/>
      <sheetName val="Salaries"/>
      <sheetName val="FrozenCornOnTheCob"/>
      <sheetName val="FrozenBroccoli"/>
      <sheetName val="SugarFreeJam"/>
      <sheetName val="PickledGarlic"/>
      <sheetName val="RootVegMedley"/>
      <sheetName val="PickledCarrotsOld"/>
      <sheetName val="KitchenEquipmentCosts"/>
      <sheetName val="EquipmentAtOtherFacilities"/>
      <sheetName val="ProjAssumptions"/>
      <sheetName val="NamedRanges"/>
      <sheetName val="FrozenVegMedley_2Options"/>
      <sheetName val="Jam"/>
    </sheetNames>
    <sheetDataSet>
      <sheetData sheetId="0"/>
      <sheetData sheetId="1"/>
      <sheetData sheetId="2">
        <row r="29">
          <cell r="D29" t="str">
            <v>Year 1</v>
          </cell>
          <cell r="E29" t="str">
            <v>Year 2</v>
          </cell>
          <cell r="F29" t="str">
            <v>Year 3</v>
          </cell>
          <cell r="G29" t="str">
            <v>Year 4</v>
          </cell>
          <cell r="H29" t="str">
            <v>Year 5</v>
          </cell>
          <cell r="I29" t="str">
            <v>Year 6</v>
          </cell>
          <cell r="J29" t="str">
            <v>Year 7</v>
          </cell>
          <cell r="K29" t="str">
            <v xml:space="preserve">Year 8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1-StartingPoint"/>
      <sheetName val="2a-PayrollYear1"/>
      <sheetName val="2b-PayrollYrs1-3"/>
      <sheetName val="3a-SalesForecastYear1"/>
      <sheetName val="3b-SalesForecastYrs1-3"/>
      <sheetName val="4-AdditionalInputs"/>
      <sheetName val="5a-OpExYear1"/>
      <sheetName val="5b-OpExYrs1-3"/>
      <sheetName val="6a-CashFlowYear1"/>
      <sheetName val="6b-CashFlowYrs1-3"/>
      <sheetName val="7a-IncomeStatementYear1"/>
      <sheetName val="7b-IncomeStatementYrs1-3"/>
      <sheetName val="8-BalanceSheet"/>
      <sheetName val="BreakevenAnalysis"/>
      <sheetName val="FinancialRatios"/>
      <sheetName val="DiagnosticTools"/>
      <sheetName val="COGS Calculator"/>
      <sheetName val="Amortization&amp;Depreciation"/>
      <sheetName val="Revision Notes"/>
    </sheetNames>
    <sheetDataSet>
      <sheetData sheetId="0">
        <row r="6">
          <cell r="C6" t="str">
            <v>Nils Johnson</v>
          </cell>
          <cell r="D6" t="str">
            <v>Prospective Stevens County Food Processing Facility</v>
          </cell>
        </row>
        <row r="34">
          <cell r="B34" t="str">
            <v>March</v>
          </cell>
          <cell r="C34" t="str">
            <v>April</v>
          </cell>
          <cell r="D34" t="str">
            <v>May</v>
          </cell>
          <cell r="E34" t="str">
            <v>June</v>
          </cell>
          <cell r="F34" t="str">
            <v>July</v>
          </cell>
          <cell r="G34" t="str">
            <v>August</v>
          </cell>
          <cell r="H34" t="str">
            <v>September</v>
          </cell>
          <cell r="I34" t="str">
            <v>October</v>
          </cell>
          <cell r="J34" t="str">
            <v>November</v>
          </cell>
          <cell r="K34" t="str">
            <v>December</v>
          </cell>
          <cell r="L34" t="str">
            <v>January</v>
          </cell>
          <cell r="M34" t="str">
            <v>February</v>
          </cell>
        </row>
      </sheetData>
      <sheetData sheetId="1"/>
      <sheetData sheetId="2"/>
      <sheetData sheetId="3"/>
      <sheetData sheetId="4">
        <row r="27">
          <cell r="C27" t="str">
            <v>March</v>
          </cell>
          <cell r="D27" t="str">
            <v>April</v>
          </cell>
          <cell r="E27" t="str">
            <v>May</v>
          </cell>
          <cell r="F27" t="str">
            <v>June</v>
          </cell>
          <cell r="G27" t="str">
            <v>July</v>
          </cell>
          <cell r="H27" t="str">
            <v>August</v>
          </cell>
          <cell r="I27" t="str">
            <v>September</v>
          </cell>
          <cell r="J27" t="str">
            <v>October</v>
          </cell>
          <cell r="K27" t="str">
            <v>November</v>
          </cell>
          <cell r="L27" t="str">
            <v>December</v>
          </cell>
          <cell r="M27" t="str">
            <v>January</v>
          </cell>
          <cell r="N27" t="str">
            <v>February</v>
          </cell>
          <cell r="O27" t="str">
            <v>Annual Totals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URM_Pricing_IncheliumSchool.pdf" TargetMode="External"/><Relationship Id="rId1" Type="http://schemas.openxmlformats.org/officeDocument/2006/relationships/hyperlink" Target="Simplot_VegetableBlend_RW_FLG_03.15.pdf" TargetMode="External"/><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8" Type="http://schemas.openxmlformats.org/officeDocument/2006/relationships/hyperlink" Target="..\FacilityDesign\Equipment\WebstaurantStore_Delfield%20T40CU%20Air%20Cooled%20Remote%20Condensing%20Unit%20for%20Delfield%20T40C%20Blast%20Chiller%20_%20Blast%20Freezer.pdf" TargetMode="External"/><Relationship Id="rId13" Type="http://schemas.openxmlformats.org/officeDocument/2006/relationships/hyperlink" Target="..\FacilityDesign\Equipment\WebstaurantStore_Nor-Lake%20Kold%20Locker%2010'%20x%2014'%20x%207'%204_%20Indoor%20Walk-In%20Cooler%20Without%20Floor.pdf" TargetMode="External"/><Relationship Id="rId18" Type="http://schemas.openxmlformats.org/officeDocument/2006/relationships/hyperlink" Target="http://www.charliesmachineandsupply.com/" TargetMode="External"/><Relationship Id="rId26" Type="http://schemas.openxmlformats.org/officeDocument/2006/relationships/hyperlink" Target="..\FacilityDesign\Equipment\6foot%20Restaurant%20Hood%20with%20Exhaust%20Fan%206ft%20Exhaust%20Only%20Vent%20Hood%20_%20eBay.pdf" TargetMode="External"/><Relationship Id="rId3" Type="http://schemas.openxmlformats.org/officeDocument/2006/relationships/hyperlink" Target="..\FacilityDesign\Equipment\LegionBrand_ElectricSteamKettles_LECHEC113.pdf" TargetMode="External"/><Relationship Id="rId21" Type="http://schemas.openxmlformats.org/officeDocument/2006/relationships/hyperlink" Target="http://www.charliesmachineandsupply.com/" TargetMode="External"/><Relationship Id="rId34" Type="http://schemas.openxmlformats.org/officeDocument/2006/relationships/vmlDrawing" Target="../drawings/vmlDrawing10.vml"/><Relationship Id="rId7" Type="http://schemas.openxmlformats.org/officeDocument/2006/relationships/hyperlink" Target="..\FacilityDesign\Equipment\WebstaurantStore_Delfield%20T40%20ConvoChill%20Remote%20Cooled%20Roll-In%20Blast%20Chiller%20_%20Blast%20Freezer%20-%20440%20lb.pdf" TargetMode="External"/><Relationship Id="rId12" Type="http://schemas.openxmlformats.org/officeDocument/2006/relationships/hyperlink" Target="..\FacilityDesign\Equipment\WaterActivityMeterSet_HP23-AW-Set&#8211;Rotronic%20USA.pdf" TargetMode="External"/><Relationship Id="rId17" Type="http://schemas.openxmlformats.org/officeDocument/2006/relationships/hyperlink" Target="..\FacilityDesign\Equipment\Hallde%20RG-400%20Vegetable%20Preparation%20_%20eBay.pdf" TargetMode="External"/><Relationship Id="rId25" Type="http://schemas.openxmlformats.org/officeDocument/2006/relationships/hyperlink" Target="..\FacilityDesign\Equipment\WebstaurantStore_Taylor%20TE50%2050%20lb.pdf" TargetMode="External"/><Relationship Id="rId33" Type="http://schemas.openxmlformats.org/officeDocument/2006/relationships/printerSettings" Target="../printerSettings/printerSettings11.bin"/><Relationship Id="rId2" Type="http://schemas.openxmlformats.org/officeDocument/2006/relationships/hyperlink" Target="..\FacilityDesign\Equipment\WebstaurantStore_Vulcan%20VP18-IM3PN%20Full%20Size%20Non-Insulated%20Heated%20Holding%20_%20Proofing%20Cabinet%20-%20120V.pdf" TargetMode="External"/><Relationship Id="rId16" Type="http://schemas.openxmlformats.org/officeDocument/2006/relationships/hyperlink" Target="..\FacilityDesign\Equipment\Hallde_RG-400_GB_FoodProcessor.pdf" TargetMode="External"/><Relationship Id="rId20" Type="http://schemas.openxmlformats.org/officeDocument/2006/relationships/hyperlink" Target="..\FacilityDesign\Equipment\Hobart_HCM300_FoodProcessor_Used_MIDWEST_FOOD_EQUIPMENT%20_CO.pdf" TargetMode="External"/><Relationship Id="rId29" Type="http://schemas.openxmlformats.org/officeDocument/2006/relationships/hyperlink" Target="..\FacilityDesign\Equipment\WebstaurantStore_Viking%20Pro%20V%20Three%20Product%20Liquid%20Chemical%20Pump%20System.pdf" TargetMode="External"/><Relationship Id="rId1" Type="http://schemas.openxmlformats.org/officeDocument/2006/relationships/hyperlink" Target="..\FacilityDesign\Equipment\WebstaurantStore_Alto-Shaam%201000-TH-I%20Full%20Height%20Cook%20and%20Hold%20Oven%20with%20Simple%20Controls%20-%20208-240V,%205300-6000W.pdf" TargetMode="External"/><Relationship Id="rId6" Type="http://schemas.openxmlformats.org/officeDocument/2006/relationships/hyperlink" Target="..\FacilityDesign\Equipment\Technopack_E-FP-1000D_High%20Viscosity%20Piston%20Filler%20(1000%20ml)%20(E-FP-1000D).pdf" TargetMode="External"/><Relationship Id="rId11" Type="http://schemas.openxmlformats.org/officeDocument/2006/relationships/hyperlink" Target="..\FacilityDesign\Equipment\HannahInstruments_Benchtop%20pH_mV%20Meter%20with_10mpH_Resolution.pdf" TargetMode="External"/><Relationship Id="rId24" Type="http://schemas.openxmlformats.org/officeDocument/2006/relationships/hyperlink" Target="..\FacilityDesign\Equipment\WebstaurantStore_Edlund%20Resolution%20RGS-600%20Precision%20Gram%20Scale.pdf" TargetMode="External"/><Relationship Id="rId32" Type="http://schemas.openxmlformats.org/officeDocument/2006/relationships/hyperlink" Target="..\FacilityDesign\Equipment\WebstaurantStore_Blodgett_BLG-40E_40GallonElectricTiltSkillet-208V_1%20Phase_18kW.pdf" TargetMode="External"/><Relationship Id="rId5" Type="http://schemas.openxmlformats.org/officeDocument/2006/relationships/hyperlink" Target="..\FacilityDesign\Equipment\Simplex_AS1.pdf" TargetMode="External"/><Relationship Id="rId15" Type="http://schemas.openxmlformats.org/officeDocument/2006/relationships/hyperlink" Target="..\FacilityDesign\Equipment\WebstaurantStore_ARY%20VacMaster%20VP731%20Two%20Chamber%20Floor%20Model%20Vacuum%20Packaging%20Machine%20with%2031_%20Seal%20Bars.pdf" TargetMode="External"/><Relationship Id="rId23" Type="http://schemas.openxmlformats.org/officeDocument/2006/relationships/hyperlink" Target="http://www.charliesmachineandsupply.com/" TargetMode="External"/><Relationship Id="rId28" Type="http://schemas.openxmlformats.org/officeDocument/2006/relationships/hyperlink" Target="..\FacilityDesign\Equipment\Captive-Aire%20108_%20x%2048_%20Type%202%20Exhaust%20Hood%20Stainless%20" TargetMode="External"/><Relationship Id="rId10" Type="http://schemas.openxmlformats.org/officeDocument/2006/relationships/hyperlink" Target="..\FacilityDesign\Equipment\WebstaurantStore_GarlicPeeler.pdf" TargetMode="External"/><Relationship Id="rId19" Type="http://schemas.openxmlformats.org/officeDocument/2006/relationships/hyperlink" Target="..\FacilityDesign\Equipment\WebstaurantStore_Hobart%20HCM450-62-4%2045%20Qt.pdf" TargetMode="External"/><Relationship Id="rId31" Type="http://schemas.openxmlformats.org/officeDocument/2006/relationships/hyperlink" Target="..\FacilityDesign\Equipment\WebstaurantStore_Manitowoc%20BG-0260%20Big%20Shot%2033%201_8_%20Air%20Cooled%20Large%20Gourmet%20Cube%20Ice%20Machine%20-%20306%20lb_.pdf" TargetMode="External"/><Relationship Id="rId4" Type="http://schemas.openxmlformats.org/officeDocument/2006/relationships/hyperlink" Target="..\FacilityDesign\Equipment\WebstaurantStore_Blodgett%20KTT-6E%206%20Gallon%20Countertop%20Tilting%20Electric%20Steam%20Jacketed%20Kettle%20-%20240V,%201%20Phase,%207.pdf" TargetMode="External"/><Relationship Id="rId9" Type="http://schemas.openxmlformats.org/officeDocument/2006/relationships/hyperlink" Target="..\FacilityDesign\Equipment\WebstaurantStore_22LbPotatoPeeler_915DB1.pdf" TargetMode="External"/><Relationship Id="rId14" Type="http://schemas.openxmlformats.org/officeDocument/2006/relationships/hyperlink" Target="..\FacilityDesign\Equipment\WebstaurantStore_Nor-Lake%20Kold%20Locker%2010'%20x%2014'%20x%207'%207_%20Indoor%20Walk-In%20Freezer%20with%20Floor.pdf" TargetMode="External"/><Relationship Id="rId22" Type="http://schemas.openxmlformats.org/officeDocument/2006/relationships/hyperlink" Target="http://www.charliesmachineandsupply.com/" TargetMode="External"/><Relationship Id="rId27" Type="http://schemas.openxmlformats.org/officeDocument/2006/relationships/hyperlink" Target="..\FacilityDesign\Equipment\WebstaurantStore_Regency%2078_%2016-Gauge%20Stainless%20Steel%20Three%20Compartment%20Commercial%20Sink%20without%20Drainboard%20-%2023_%20x%2023_%20x%2012_%20Bowls.pdf" TargetMode="External"/><Relationship Id="rId30" Type="http://schemas.openxmlformats.org/officeDocument/2006/relationships/hyperlink" Target="..\FacilityDesign\Equipment\MMFEC_PackingTableTop.JPG" TargetMode="External"/><Relationship Id="rId35"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hyperlink" Target="mailto:jennie@portofcolumbia.org,%20(509)%20382-2577" TargetMode="External"/><Relationship Id="rId2" Type="http://schemas.openxmlformats.org/officeDocument/2006/relationships/hyperlink" Target="FoodHubs/BlueMountainStation_MasterPlan.png" TargetMode="External"/><Relationship Id="rId1" Type="http://schemas.openxmlformats.org/officeDocument/2006/relationships/hyperlink" Target="FoodHubs/BlueMountanStation_CommercialKitchenSpecs.pdf" TargetMode="External"/><Relationship Id="rId6" Type="http://schemas.openxmlformats.org/officeDocument/2006/relationships/hyperlink" Target="FoodHubs/21_Acres_KitchenMap.pdf" TargetMode="External"/><Relationship Id="rId5" Type="http://schemas.openxmlformats.org/officeDocument/2006/relationships/hyperlink" Target="http://www.lincfoods.com/" TargetMode="External"/><Relationship Id="rId4" Type="http://schemas.openxmlformats.org/officeDocument/2006/relationships/hyperlink" Target="http://midcolumbiamarket.org/"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FacilityDesign\Equipment\CharliesMachineAndSupply_BroccoliFloretMachine.pdf"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J37"/>
  <sheetViews>
    <sheetView workbookViewId="0">
      <selection activeCell="H32" sqref="H32"/>
    </sheetView>
  </sheetViews>
  <sheetFormatPr defaultRowHeight="14.5" x14ac:dyDescent="0.35"/>
  <cols>
    <col min="2" max="2" width="12.54296875" bestFit="1" customWidth="1"/>
    <col min="3" max="3" width="27.7265625" bestFit="1" customWidth="1"/>
    <col min="5" max="5" width="11.81640625" bestFit="1" customWidth="1"/>
  </cols>
  <sheetData>
    <row r="3" spans="2:10" x14ac:dyDescent="0.35">
      <c r="C3" t="s">
        <v>514</v>
      </c>
      <c r="D3" s="446">
        <v>3</v>
      </c>
      <c r="E3" t="s">
        <v>493</v>
      </c>
    </row>
    <row r="4" spans="2:10" x14ac:dyDescent="0.35">
      <c r="C4" t="s">
        <v>515</v>
      </c>
      <c r="D4" s="448">
        <v>0.2</v>
      </c>
      <c r="E4" t="s">
        <v>513</v>
      </c>
    </row>
    <row r="5" spans="2:10" x14ac:dyDescent="0.35">
      <c r="C5" t="s">
        <v>516</v>
      </c>
      <c r="D5" s="448">
        <v>0.05</v>
      </c>
      <c r="E5" t="s">
        <v>513</v>
      </c>
    </row>
    <row r="9" spans="2:10" x14ac:dyDescent="0.35">
      <c r="D9" s="536"/>
      <c r="E9" s="536"/>
      <c r="F9" s="536"/>
      <c r="G9" s="536"/>
      <c r="H9" s="536"/>
      <c r="I9" s="110"/>
      <c r="J9" s="110"/>
    </row>
    <row r="10" spans="2:10" x14ac:dyDescent="0.35">
      <c r="B10" t="s">
        <v>482</v>
      </c>
      <c r="D10" s="389"/>
      <c r="E10" s="388"/>
      <c r="F10" s="388"/>
      <c r="G10" s="388"/>
      <c r="H10" s="388"/>
      <c r="I10" s="388"/>
      <c r="J10" s="388"/>
    </row>
    <row r="11" spans="2:10" x14ac:dyDescent="0.35">
      <c r="B11" t="s">
        <v>504</v>
      </c>
      <c r="D11" s="389"/>
      <c r="E11" s="388"/>
      <c r="F11" s="388"/>
      <c r="G11" s="388"/>
      <c r="H11" s="388"/>
      <c r="I11" s="388"/>
      <c r="J11" s="388"/>
    </row>
    <row r="12" spans="2:10" x14ac:dyDescent="0.35">
      <c r="C12" t="s">
        <v>483</v>
      </c>
      <c r="D12" s="447">
        <v>5</v>
      </c>
      <c r="E12" s="119" t="s">
        <v>323</v>
      </c>
      <c r="F12" s="119"/>
      <c r="G12" s="119"/>
      <c r="H12" s="119"/>
      <c r="I12" s="119"/>
      <c r="J12" s="119"/>
    </row>
    <row r="13" spans="2:10" x14ac:dyDescent="0.35">
      <c r="C13" t="s">
        <v>484</v>
      </c>
      <c r="D13" s="447">
        <f>8*8*$D$3</f>
        <v>192</v>
      </c>
      <c r="E13" s="119" t="s">
        <v>494</v>
      </c>
      <c r="F13" s="119"/>
      <c r="G13" s="119"/>
      <c r="H13" s="119"/>
      <c r="I13" s="119"/>
      <c r="J13" s="119"/>
    </row>
    <row r="14" spans="2:10" x14ac:dyDescent="0.35">
      <c r="C14" t="s">
        <v>485</v>
      </c>
      <c r="D14" s="447">
        <f>8*8*$D$3</f>
        <v>192</v>
      </c>
      <c r="E14" s="119" t="s">
        <v>494</v>
      </c>
      <c r="F14" s="119"/>
      <c r="G14" s="119"/>
      <c r="H14" s="119"/>
      <c r="I14" s="119"/>
      <c r="J14" s="119"/>
    </row>
    <row r="15" spans="2:10" x14ac:dyDescent="0.35">
      <c r="C15" t="s">
        <v>486</v>
      </c>
      <c r="D15" s="447">
        <f>8*8*$D$3</f>
        <v>192</v>
      </c>
      <c r="E15" s="119" t="s">
        <v>494</v>
      </c>
      <c r="F15" s="119"/>
      <c r="G15" s="119"/>
      <c r="H15" s="119"/>
      <c r="I15" s="119"/>
      <c r="J15" s="119"/>
    </row>
    <row r="16" spans="2:10" x14ac:dyDescent="0.35">
      <c r="C16" t="s">
        <v>530</v>
      </c>
      <c r="D16" s="447">
        <f>8*12*$D$3</f>
        <v>288</v>
      </c>
      <c r="E16" s="119" t="s">
        <v>494</v>
      </c>
      <c r="F16" s="119"/>
      <c r="G16" s="119"/>
      <c r="H16" s="119"/>
      <c r="I16" s="119"/>
      <c r="J16" s="119"/>
    </row>
    <row r="17" spans="2:10" x14ac:dyDescent="0.35">
      <c r="C17" t="s">
        <v>487</v>
      </c>
      <c r="D17" s="447">
        <f>8*12*$D$3</f>
        <v>288</v>
      </c>
      <c r="E17" s="119" t="s">
        <v>494</v>
      </c>
      <c r="F17" s="119"/>
      <c r="G17" s="119"/>
      <c r="H17" s="119"/>
      <c r="I17" s="119"/>
      <c r="J17" s="119"/>
    </row>
    <row r="18" spans="2:10" x14ac:dyDescent="0.35">
      <c r="C18" t="s">
        <v>488</v>
      </c>
      <c r="D18" s="447">
        <f>8*12*$D$3</f>
        <v>288</v>
      </c>
      <c r="E18" s="119" t="s">
        <v>494</v>
      </c>
      <c r="F18" s="119"/>
      <c r="G18" s="119"/>
      <c r="H18" s="119"/>
      <c r="I18" s="119"/>
      <c r="J18" s="119"/>
    </row>
    <row r="19" spans="2:10" x14ac:dyDescent="0.35">
      <c r="C19" t="s">
        <v>489</v>
      </c>
      <c r="D19" s="447">
        <f>16*12*$D$3</f>
        <v>576</v>
      </c>
      <c r="E19" s="119" t="s">
        <v>494</v>
      </c>
      <c r="F19" s="119"/>
      <c r="G19" s="119"/>
      <c r="H19" s="119"/>
      <c r="I19" s="119"/>
      <c r="J19" s="119"/>
    </row>
    <row r="20" spans="2:10" x14ac:dyDescent="0.35">
      <c r="C20" t="s">
        <v>496</v>
      </c>
      <c r="D20" s="447">
        <v>25</v>
      </c>
      <c r="E20" s="119" t="s">
        <v>495</v>
      </c>
      <c r="F20" s="119"/>
      <c r="G20" s="119"/>
      <c r="H20" s="119"/>
      <c r="I20" s="119"/>
      <c r="J20" s="119"/>
    </row>
    <row r="21" spans="2:10" x14ac:dyDescent="0.35">
      <c r="C21" t="s">
        <v>497</v>
      </c>
      <c r="D21" s="447">
        <v>25</v>
      </c>
      <c r="E21" s="119" t="s">
        <v>495</v>
      </c>
      <c r="F21" s="119"/>
      <c r="G21" s="119"/>
      <c r="H21" s="119"/>
      <c r="I21" s="119"/>
      <c r="J21" s="119"/>
    </row>
    <row r="22" spans="2:10" x14ac:dyDescent="0.35">
      <c r="C22" t="s">
        <v>498</v>
      </c>
      <c r="D22" s="447">
        <v>25</v>
      </c>
      <c r="E22" s="119" t="s">
        <v>495</v>
      </c>
      <c r="F22" s="119"/>
      <c r="G22" s="119"/>
      <c r="H22" s="119"/>
      <c r="I22" s="119"/>
      <c r="J22" s="119"/>
    </row>
    <row r="23" spans="2:10" x14ac:dyDescent="0.35">
      <c r="C23" t="s">
        <v>272</v>
      </c>
      <c r="D23" s="447">
        <v>25</v>
      </c>
      <c r="E23" s="119" t="s">
        <v>505</v>
      </c>
      <c r="F23" s="119"/>
      <c r="G23" s="119"/>
      <c r="H23" s="119"/>
      <c r="I23" s="119"/>
      <c r="J23" s="119"/>
    </row>
    <row r="24" spans="2:10" x14ac:dyDescent="0.35">
      <c r="C24" t="s">
        <v>490</v>
      </c>
      <c r="D24" s="447">
        <v>35</v>
      </c>
      <c r="E24" s="119" t="s">
        <v>505</v>
      </c>
      <c r="F24" s="119"/>
      <c r="G24" s="119"/>
      <c r="H24" s="119"/>
      <c r="I24" s="119"/>
      <c r="J24" s="119"/>
    </row>
    <row r="25" spans="2:10" x14ac:dyDescent="0.35">
      <c r="C25" t="s">
        <v>491</v>
      </c>
      <c r="D25" s="447">
        <v>45</v>
      </c>
      <c r="E25" s="119" t="s">
        <v>505</v>
      </c>
      <c r="F25" s="119"/>
      <c r="G25" s="119"/>
      <c r="H25" s="119"/>
      <c r="I25" s="119"/>
      <c r="J25" s="119"/>
    </row>
    <row r="26" spans="2:10" x14ac:dyDescent="0.35">
      <c r="C26" t="s">
        <v>519</v>
      </c>
      <c r="D26" s="447">
        <v>10</v>
      </c>
      <c r="E26" s="119" t="s">
        <v>323</v>
      </c>
      <c r="F26" s="119"/>
      <c r="G26" s="119"/>
      <c r="H26" s="119"/>
      <c r="I26" s="119"/>
      <c r="J26" s="119"/>
    </row>
    <row r="27" spans="2:10" x14ac:dyDescent="0.35">
      <c r="C27" t="s">
        <v>492</v>
      </c>
      <c r="D27" s="447">
        <v>10</v>
      </c>
      <c r="E27" s="119" t="s">
        <v>323</v>
      </c>
      <c r="F27" s="119"/>
      <c r="G27" s="119"/>
      <c r="H27" s="119"/>
      <c r="I27" s="119"/>
      <c r="J27" s="119"/>
    </row>
    <row r="28" spans="2:10" x14ac:dyDescent="0.35">
      <c r="B28" s="449" t="s">
        <v>501</v>
      </c>
      <c r="D28" s="448">
        <v>0.05</v>
      </c>
      <c r="E28" s="119" t="s">
        <v>500</v>
      </c>
    </row>
    <row r="29" spans="2:10" x14ac:dyDescent="0.35">
      <c r="C29" t="s">
        <v>502</v>
      </c>
      <c r="D29" s="446">
        <f>RootVegMedley!K21/8</f>
        <v>25.5</v>
      </c>
      <c r="E29" s="119" t="s">
        <v>323</v>
      </c>
    </row>
    <row r="30" spans="2:10" x14ac:dyDescent="0.35">
      <c r="C30" t="s">
        <v>503</v>
      </c>
      <c r="D30" s="446">
        <f>FrozenBroccoli!K21/8</f>
        <v>63.401252499999991</v>
      </c>
      <c r="E30" s="119" t="s">
        <v>323</v>
      </c>
    </row>
    <row r="31" spans="2:10" x14ac:dyDescent="0.35">
      <c r="C31" t="s">
        <v>507</v>
      </c>
      <c r="D31" s="446">
        <f>FrozenCornOnTheCob!K21/8</f>
        <v>78.822125</v>
      </c>
      <c r="E31" s="119" t="s">
        <v>323</v>
      </c>
    </row>
    <row r="32" spans="2:10" x14ac:dyDescent="0.35">
      <c r="C32" t="s">
        <v>506</v>
      </c>
      <c r="D32" s="446">
        <f>PickledGarlic!K18/8</f>
        <v>12.306666666666665</v>
      </c>
      <c r="E32" s="119" t="s">
        <v>323</v>
      </c>
    </row>
    <row r="33" spans="2:5" x14ac:dyDescent="0.35">
      <c r="C33" t="s">
        <v>508</v>
      </c>
      <c r="D33" s="446">
        <f>SugarFreeJam!K18/8</f>
        <v>15.494666666666667</v>
      </c>
      <c r="E33" s="119" t="s">
        <v>323</v>
      </c>
    </row>
    <row r="34" spans="2:5" x14ac:dyDescent="0.35">
      <c r="C34" t="s">
        <v>520</v>
      </c>
      <c r="D34" s="446">
        <v>50</v>
      </c>
      <c r="E34" s="119" t="s">
        <v>323</v>
      </c>
    </row>
    <row r="36" spans="2:5" x14ac:dyDescent="0.35">
      <c r="B36" t="s">
        <v>31</v>
      </c>
      <c r="C36" t="s">
        <v>518</v>
      </c>
      <c r="D36" s="448">
        <v>0.05</v>
      </c>
      <c r="E36" s="119" t="s">
        <v>500</v>
      </c>
    </row>
    <row r="37" spans="2:5" x14ac:dyDescent="0.35">
      <c r="C37" t="s">
        <v>517</v>
      </c>
    </row>
  </sheetData>
  <mergeCells count="1">
    <mergeCell ref="D9:H9"/>
  </mergeCell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67"/>
  <sheetViews>
    <sheetView topLeftCell="E1" zoomScale="125" zoomScaleNormal="125" workbookViewId="0">
      <selection activeCell="M8" sqref="M8:O14"/>
    </sheetView>
  </sheetViews>
  <sheetFormatPr defaultColWidth="19.1796875" defaultRowHeight="10.5" x14ac:dyDescent="0.25"/>
  <cols>
    <col min="1" max="1" width="1.81640625" style="49" customWidth="1"/>
    <col min="2" max="2" width="10.7265625" style="49" customWidth="1"/>
    <col min="3" max="3" width="21.26953125" style="49" bestFit="1" customWidth="1"/>
    <col min="4" max="4" width="5.7265625" style="49" bestFit="1" customWidth="1"/>
    <col min="5" max="5" width="6.453125" style="49" bestFit="1" customWidth="1"/>
    <col min="6" max="6" width="2.36328125" style="75" customWidth="1"/>
    <col min="7" max="7" width="15.7265625" style="75" customWidth="1"/>
    <col min="8" max="8" width="7.453125" style="49" bestFit="1" customWidth="1"/>
    <col min="9" max="9" width="6.7265625" style="48" bestFit="1" customWidth="1"/>
    <col min="10" max="10" width="9.6328125" style="48" bestFit="1" customWidth="1"/>
    <col min="11" max="11" width="9.54296875" style="48" customWidth="1"/>
    <col min="12" max="12" width="0.90625" style="75" customWidth="1"/>
    <col min="13" max="16384" width="19.1796875" style="49"/>
  </cols>
  <sheetData>
    <row r="1" spans="2:18" ht="4" customHeight="1" x14ac:dyDescent="0.25"/>
    <row r="2" spans="2:18" ht="24.5" customHeight="1" x14ac:dyDescent="0.25">
      <c r="B2" s="558" t="s">
        <v>391</v>
      </c>
      <c r="C2" s="559"/>
      <c r="D2" s="559"/>
      <c r="E2" s="559"/>
      <c r="F2" s="559"/>
      <c r="G2" s="559"/>
      <c r="H2" s="559"/>
      <c r="I2" s="559"/>
      <c r="J2" s="559"/>
      <c r="K2" s="560"/>
    </row>
    <row r="3" spans="2:18" ht="13" x14ac:dyDescent="0.3">
      <c r="B3" s="337" t="s">
        <v>309</v>
      </c>
      <c r="C3" s="561" t="s">
        <v>403</v>
      </c>
      <c r="D3" s="561"/>
      <c r="E3" s="561"/>
      <c r="F3" s="561"/>
      <c r="G3" s="561"/>
      <c r="H3" s="561"/>
      <c r="I3" s="561"/>
      <c r="J3" s="561"/>
      <c r="K3" s="562"/>
      <c r="L3" s="49"/>
    </row>
    <row r="4" spans="2:18" x14ac:dyDescent="0.25">
      <c r="L4" s="49"/>
    </row>
    <row r="5" spans="2:18" x14ac:dyDescent="0.25">
      <c r="B5" s="572" t="s">
        <v>387</v>
      </c>
      <c r="C5" s="572"/>
      <c r="D5" s="572"/>
      <c r="E5" s="572"/>
      <c r="G5" s="566" t="s">
        <v>344</v>
      </c>
      <c r="H5" s="567"/>
      <c r="I5" s="567"/>
      <c r="J5" s="567"/>
      <c r="K5" s="568"/>
      <c r="L5" s="49"/>
    </row>
    <row r="6" spans="2:18" x14ac:dyDescent="0.25">
      <c r="B6" s="451"/>
      <c r="C6" s="452" t="s">
        <v>521</v>
      </c>
      <c r="D6" s="453">
        <v>0.75</v>
      </c>
      <c r="E6" s="49" t="s">
        <v>522</v>
      </c>
      <c r="G6" s="226"/>
      <c r="H6" s="227" t="s">
        <v>379</v>
      </c>
      <c r="I6" s="228" t="s">
        <v>381</v>
      </c>
      <c r="J6" s="227" t="s">
        <v>383</v>
      </c>
      <c r="K6" s="312" t="s">
        <v>381</v>
      </c>
      <c r="L6" s="48"/>
      <c r="M6" s="48"/>
      <c r="N6" s="48"/>
      <c r="O6" s="48"/>
      <c r="P6" s="48"/>
      <c r="Q6" s="48"/>
      <c r="R6" s="48"/>
    </row>
    <row r="7" spans="2:18" x14ac:dyDescent="0.25">
      <c r="B7" s="303"/>
      <c r="C7" s="304" t="s">
        <v>353</v>
      </c>
      <c r="D7" s="229">
        <v>25</v>
      </c>
      <c r="E7" s="230" t="s">
        <v>323</v>
      </c>
      <c r="G7" s="231" t="s">
        <v>340</v>
      </c>
      <c r="H7" s="232" t="s">
        <v>380</v>
      </c>
      <c r="I7" s="233" t="s">
        <v>382</v>
      </c>
      <c r="J7" s="232" t="s">
        <v>384</v>
      </c>
      <c r="K7" s="313" t="s">
        <v>385</v>
      </c>
      <c r="L7" s="48"/>
      <c r="M7" s="48"/>
      <c r="N7" s="48"/>
      <c r="O7" s="48"/>
      <c r="P7" s="48"/>
      <c r="Q7" s="48"/>
      <c r="R7" s="48"/>
    </row>
    <row r="8" spans="2:18" x14ac:dyDescent="0.25">
      <c r="B8" s="305"/>
      <c r="C8" s="294" t="s">
        <v>364</v>
      </c>
      <c r="D8" s="234">
        <v>18</v>
      </c>
      <c r="E8" s="235" t="s">
        <v>323</v>
      </c>
      <c r="F8" s="244"/>
      <c r="G8" s="236" t="s">
        <v>341</v>
      </c>
      <c r="H8" s="237">
        <f>$J$8/$D$13</f>
        <v>4.018518518518519</v>
      </c>
      <c r="I8" s="237">
        <f>$J$8/$D$17</f>
        <v>3.1344444444444446</v>
      </c>
      <c r="J8" s="238">
        <f>E28</f>
        <v>564.20000000000005</v>
      </c>
      <c r="K8" s="314">
        <f t="shared" ref="K8:K18" si="0">J8*$D$14</f>
        <v>564.20000000000005</v>
      </c>
      <c r="L8" s="48"/>
      <c r="M8" s="535"/>
      <c r="N8" s="535"/>
      <c r="O8" s="535" t="s">
        <v>757</v>
      </c>
      <c r="P8" s="48"/>
      <c r="Q8" s="48"/>
      <c r="R8" s="48"/>
    </row>
    <row r="9" spans="2:18" x14ac:dyDescent="0.25">
      <c r="B9" s="305"/>
      <c r="C9" s="294" t="s">
        <v>365</v>
      </c>
      <c r="D9" s="234">
        <v>32</v>
      </c>
      <c r="E9" s="239" t="s">
        <v>323</v>
      </c>
      <c r="G9" s="240" t="s">
        <v>389</v>
      </c>
      <c r="H9" s="241">
        <f>$J$9/$D$13</f>
        <v>10.024843304843305</v>
      </c>
      <c r="I9" s="242">
        <f>$J$9/$D$17</f>
        <v>7.8193777777777784</v>
      </c>
      <c r="J9" s="243">
        <f>$E$24*$D$15</f>
        <v>1407.4880000000001</v>
      </c>
      <c r="K9" s="315">
        <f t="shared" si="0"/>
        <v>1407.4880000000001</v>
      </c>
      <c r="L9" s="48"/>
      <c r="M9" s="534" t="s">
        <v>502</v>
      </c>
      <c r="N9" s="244">
        <v>7344</v>
      </c>
      <c r="P9" s="48"/>
      <c r="Q9" s="48"/>
      <c r="R9" s="48"/>
    </row>
    <row r="10" spans="2:18" x14ac:dyDescent="0.25">
      <c r="B10" s="305"/>
      <c r="C10" s="294" t="s">
        <v>367</v>
      </c>
      <c r="D10" s="234">
        <v>14</v>
      </c>
      <c r="E10" s="235" t="s">
        <v>323</v>
      </c>
      <c r="F10" s="244"/>
      <c r="G10" s="245" t="s">
        <v>372</v>
      </c>
      <c r="H10" s="246">
        <f>$J$10/$D$13</f>
        <v>8.0228395061728399</v>
      </c>
      <c r="I10" s="247">
        <f>$J$10/$D$17</f>
        <v>6.2578148148148154</v>
      </c>
      <c r="J10" s="248">
        <f>SUM(J11:J14)</f>
        <v>1126.4066666666668</v>
      </c>
      <c r="K10" s="316">
        <f t="shared" si="0"/>
        <v>1126.4066666666668</v>
      </c>
      <c r="L10" s="48"/>
      <c r="M10" s="534" t="s">
        <v>503</v>
      </c>
      <c r="N10" s="244">
        <v>18259.560719999998</v>
      </c>
      <c r="O10" s="75"/>
      <c r="P10" s="48"/>
      <c r="Q10" s="48"/>
      <c r="R10" s="48"/>
    </row>
    <row r="11" spans="2:18" x14ac:dyDescent="0.25">
      <c r="B11" s="305"/>
      <c r="C11" s="294" t="s">
        <v>366</v>
      </c>
      <c r="D11" s="234">
        <v>25</v>
      </c>
      <c r="E11" s="239" t="s">
        <v>323</v>
      </c>
      <c r="G11" s="249" t="s">
        <v>408</v>
      </c>
      <c r="H11" s="250">
        <f>J11/$D$13</f>
        <v>4.018518518518519</v>
      </c>
      <c r="I11" s="250">
        <f>$J$11/$D$17</f>
        <v>3.1344444444444446</v>
      </c>
      <c r="J11" s="251">
        <f>E28</f>
        <v>564.20000000000005</v>
      </c>
      <c r="K11" s="317">
        <f t="shared" si="0"/>
        <v>564.20000000000005</v>
      </c>
      <c r="L11" s="49"/>
      <c r="M11" s="534" t="s">
        <v>507</v>
      </c>
      <c r="N11" s="244">
        <v>5044.616</v>
      </c>
    </row>
    <row r="12" spans="2:18" x14ac:dyDescent="0.25">
      <c r="B12" s="305"/>
      <c r="C12" s="294" t="s">
        <v>388</v>
      </c>
      <c r="D12" s="252">
        <v>0.1</v>
      </c>
      <c r="E12" s="253"/>
      <c r="G12" s="249" t="s">
        <v>361</v>
      </c>
      <c r="H12" s="250">
        <f>$J$12/$D$13</f>
        <v>1.5541785375118706</v>
      </c>
      <c r="I12" s="250">
        <f>$J$12/$D$17</f>
        <v>1.2122592592592591</v>
      </c>
      <c r="J12" s="251">
        <f>E52</f>
        <v>218.20666666666665</v>
      </c>
      <c r="K12" s="317">
        <f t="shared" si="0"/>
        <v>218.20666666666665</v>
      </c>
      <c r="L12" s="49"/>
      <c r="M12" s="534" t="s">
        <v>506</v>
      </c>
      <c r="N12" s="244">
        <v>1181.4399999999998</v>
      </c>
      <c r="O12" s="75">
        <f>N12/H18*H8</f>
        <v>6770.4000000000015</v>
      </c>
    </row>
    <row r="13" spans="2:18" x14ac:dyDescent="0.25">
      <c r="B13" s="249"/>
      <c r="C13" s="294" t="s">
        <v>356</v>
      </c>
      <c r="D13" s="254">
        <f>SUM(C29:C43)*(1-$D$12)</f>
        <v>140.4</v>
      </c>
      <c r="E13" s="255" t="s">
        <v>21</v>
      </c>
      <c r="G13" s="249" t="s">
        <v>362</v>
      </c>
      <c r="H13" s="250">
        <f>$J$13/$D$13</f>
        <v>1.4245014245014245</v>
      </c>
      <c r="I13" s="250">
        <f>$J$13/$D$17</f>
        <v>1.1111111111111112</v>
      </c>
      <c r="J13" s="251">
        <f>E65</f>
        <v>200</v>
      </c>
      <c r="K13" s="317">
        <f t="shared" si="0"/>
        <v>200</v>
      </c>
      <c r="L13" s="49"/>
      <c r="M13" s="534" t="s">
        <v>508</v>
      </c>
      <c r="N13" s="244">
        <v>2974.9759999999992</v>
      </c>
    </row>
    <row r="14" spans="2:18" x14ac:dyDescent="0.25">
      <c r="B14" s="249"/>
      <c r="C14" s="294" t="s">
        <v>337</v>
      </c>
      <c r="D14" s="259">
        <v>1</v>
      </c>
      <c r="E14" s="253"/>
      <c r="G14" s="256" t="s">
        <v>363</v>
      </c>
      <c r="H14" s="257">
        <f>$J$14/$D$13</f>
        <v>1.0256410256410255</v>
      </c>
      <c r="I14" s="257">
        <f>$J$14/$D$17</f>
        <v>0.8</v>
      </c>
      <c r="J14" s="258">
        <f>E45</f>
        <v>144</v>
      </c>
      <c r="K14" s="318">
        <f t="shared" si="0"/>
        <v>144</v>
      </c>
      <c r="L14" s="49"/>
      <c r="M14" s="534" t="s">
        <v>520</v>
      </c>
      <c r="N14" s="244">
        <v>19200</v>
      </c>
    </row>
    <row r="15" spans="2:18" x14ac:dyDescent="0.25">
      <c r="B15" s="305"/>
      <c r="C15" s="294" t="s">
        <v>424</v>
      </c>
      <c r="D15" s="263">
        <v>1.2</v>
      </c>
      <c r="E15" s="239" t="s">
        <v>336</v>
      </c>
      <c r="G15" s="260" t="s">
        <v>373</v>
      </c>
      <c r="H15" s="261">
        <f>$J$15/$D$13</f>
        <v>2.0020037986704651</v>
      </c>
      <c r="I15" s="261">
        <f>$J$15/$D$17</f>
        <v>1.5615629629629628</v>
      </c>
      <c r="J15" s="262">
        <f>J9-J10</f>
        <v>281.0813333333333</v>
      </c>
      <c r="K15" s="319">
        <f t="shared" si="0"/>
        <v>281.0813333333333</v>
      </c>
      <c r="L15" s="49"/>
    </row>
    <row r="16" spans="2:18" x14ac:dyDescent="0.25">
      <c r="B16" s="305"/>
      <c r="C16" s="294" t="s">
        <v>378</v>
      </c>
      <c r="D16" s="266">
        <v>0.78</v>
      </c>
      <c r="E16" s="239" t="s">
        <v>21</v>
      </c>
      <c r="G16" s="264" t="s">
        <v>342</v>
      </c>
      <c r="H16" s="246">
        <f>$J$16/$D$13</f>
        <v>2.9786799620132953</v>
      </c>
      <c r="I16" s="247">
        <f>$J$16/$D$17</f>
        <v>2.3233703703703701</v>
      </c>
      <c r="J16" s="248">
        <f>SUM(E52,E65)</f>
        <v>418.20666666666665</v>
      </c>
      <c r="K16" s="316">
        <f t="shared" si="0"/>
        <v>418.20666666666665</v>
      </c>
      <c r="L16" s="49"/>
    </row>
    <row r="17" spans="2:12" x14ac:dyDescent="0.25">
      <c r="B17" s="305"/>
      <c r="C17" s="294" t="s">
        <v>400</v>
      </c>
      <c r="D17" s="254">
        <f>D13/D16</f>
        <v>180</v>
      </c>
      <c r="E17" s="255" t="s">
        <v>21</v>
      </c>
      <c r="G17" s="265" t="s">
        <v>352</v>
      </c>
      <c r="H17" s="250">
        <f>$J$17/$D$13</f>
        <v>2.2774453941120605</v>
      </c>
      <c r="I17" s="364">
        <f>$J$17/$D$17</f>
        <v>1.7764074074074074</v>
      </c>
      <c r="J17" s="251">
        <f>SUM(D52,D65)</f>
        <v>319.75333333333333</v>
      </c>
      <c r="K17" s="317">
        <f t="shared" si="0"/>
        <v>319.75333333333333</v>
      </c>
      <c r="L17" s="49"/>
    </row>
    <row r="18" spans="2:12" ht="11.5" customHeight="1" x14ac:dyDescent="0.25">
      <c r="B18" s="298"/>
      <c r="C18" s="299"/>
      <c r="D18" s="300"/>
      <c r="E18" s="301"/>
      <c r="G18" s="267" t="s">
        <v>343</v>
      </c>
      <c r="H18" s="257">
        <f>$J$18/$D$13</f>
        <v>0.7012345679012344</v>
      </c>
      <c r="I18" s="257">
        <f>$J$18/$D$17</f>
        <v>0.54696296296296287</v>
      </c>
      <c r="J18" s="258">
        <f>J16-J17</f>
        <v>98.453333333333319</v>
      </c>
      <c r="K18" s="318">
        <f t="shared" si="0"/>
        <v>98.453333333333319</v>
      </c>
      <c r="L18" s="49"/>
    </row>
    <row r="19" spans="2:12" ht="2.5" customHeight="1" x14ac:dyDescent="0.25">
      <c r="B19" s="48"/>
      <c r="C19" s="48"/>
      <c r="D19" s="48"/>
      <c r="E19" s="48"/>
      <c r="G19" s="295"/>
      <c r="H19" s="296"/>
      <c r="I19" s="296"/>
      <c r="J19" s="297"/>
      <c r="K19" s="320"/>
      <c r="L19" s="49"/>
    </row>
    <row r="20" spans="2:12" x14ac:dyDescent="0.25">
      <c r="G20" s="268" t="s">
        <v>392</v>
      </c>
      <c r="H20" s="341">
        <f>H8/H9</f>
        <v>0.40085599308839581</v>
      </c>
      <c r="I20" s="338"/>
      <c r="J20" s="339"/>
      <c r="K20" s="340"/>
      <c r="L20" s="49"/>
    </row>
    <row r="21" spans="2:12" x14ac:dyDescent="0.25">
      <c r="G21" s="236" t="s">
        <v>374</v>
      </c>
      <c r="H21" s="237">
        <f>H18+H15</f>
        <v>2.7032383665716995</v>
      </c>
      <c r="I21" s="237">
        <f>I18+I15</f>
        <v>2.1085259259259255</v>
      </c>
      <c r="J21" s="238">
        <f>J18+J15</f>
        <v>379.53466666666662</v>
      </c>
      <c r="K21" s="314">
        <f>K18+K15</f>
        <v>379.53466666666662</v>
      </c>
      <c r="L21" s="49"/>
    </row>
    <row r="22" spans="2:12" x14ac:dyDescent="0.25">
      <c r="G22" s="321" t="s">
        <v>375</v>
      </c>
      <c r="H22" s="241">
        <f>H8+H15</f>
        <v>6.0205223171889841</v>
      </c>
      <c r="I22" s="241">
        <f>I8+I15</f>
        <v>4.6960074074074072</v>
      </c>
      <c r="J22" s="243">
        <f>J8+J15</f>
        <v>845.28133333333335</v>
      </c>
      <c r="K22" s="315">
        <f>K8+K15</f>
        <v>845.28133333333335</v>
      </c>
      <c r="L22" s="49"/>
    </row>
    <row r="23" spans="2:12" x14ac:dyDescent="0.25">
      <c r="B23" s="325" t="s">
        <v>376</v>
      </c>
      <c r="C23" s="326"/>
      <c r="D23" s="326"/>
      <c r="E23" s="327"/>
      <c r="G23" s="49"/>
      <c r="H23" s="48"/>
      <c r="K23" s="75"/>
      <c r="L23" s="49"/>
    </row>
    <row r="24" spans="2:12" x14ac:dyDescent="0.25">
      <c r="B24" s="323"/>
      <c r="C24" s="324"/>
      <c r="D24" s="302" t="s">
        <v>409</v>
      </c>
      <c r="E24" s="271">
        <f>SUM(E28,E39,E45,E52,E65)</f>
        <v>1172.9066666666668</v>
      </c>
      <c r="F24" s="48"/>
      <c r="I24" s="49"/>
      <c r="J24" s="49"/>
      <c r="K24" s="49"/>
      <c r="L24" s="49"/>
    </row>
    <row r="25" spans="2:12" x14ac:dyDescent="0.25">
      <c r="B25" s="322" t="s">
        <v>370</v>
      </c>
      <c r="C25" s="569" t="s">
        <v>266</v>
      </c>
      <c r="D25" s="570"/>
      <c r="E25" s="571"/>
      <c r="F25" s="76"/>
      <c r="I25" s="49"/>
      <c r="J25" s="49"/>
      <c r="K25" s="49"/>
      <c r="L25" s="49"/>
    </row>
    <row r="26" spans="2:12" x14ac:dyDescent="0.25">
      <c r="B26" s="328"/>
      <c r="C26" s="335" t="s">
        <v>368</v>
      </c>
      <c r="D26" s="273" t="s">
        <v>253</v>
      </c>
      <c r="E26" s="329"/>
      <c r="F26" s="76"/>
      <c r="I26" s="49"/>
      <c r="J26" s="49"/>
      <c r="K26" s="49"/>
      <c r="L26" s="49"/>
    </row>
    <row r="27" spans="2:12" x14ac:dyDescent="0.25">
      <c r="B27" s="272"/>
      <c r="C27" s="330"/>
      <c r="D27" s="357" t="s">
        <v>386</v>
      </c>
      <c r="E27" s="310">
        <f>SUM(E28,E39)</f>
        <v>610.70000000000005</v>
      </c>
      <c r="F27" s="76"/>
      <c r="I27" s="49"/>
      <c r="J27" s="49"/>
      <c r="K27" s="49"/>
      <c r="L27" s="49"/>
    </row>
    <row r="28" spans="2:12" x14ac:dyDescent="0.25">
      <c r="B28" s="272"/>
      <c r="C28" s="330"/>
      <c r="D28" s="357" t="s">
        <v>410</v>
      </c>
      <c r="E28" s="310">
        <f>SUM(E29:E37)</f>
        <v>564.20000000000005</v>
      </c>
      <c r="F28" s="48"/>
      <c r="G28" s="76"/>
      <c r="H28" s="75"/>
      <c r="I28" s="49"/>
      <c r="J28" s="49"/>
      <c r="K28" s="49"/>
      <c r="L28" s="306"/>
    </row>
    <row r="29" spans="2:12" x14ac:dyDescent="0.25">
      <c r="B29" s="274" t="s">
        <v>22</v>
      </c>
      <c r="C29" s="274">
        <v>136</v>
      </c>
      <c r="D29" s="275">
        <v>4</v>
      </c>
      <c r="E29" s="307">
        <f t="shared" ref="E29:E37" si="1">D29*C29</f>
        <v>544</v>
      </c>
      <c r="F29" s="48"/>
      <c r="G29" s="49"/>
      <c r="H29" s="75"/>
      <c r="I29" s="49"/>
      <c r="J29" s="49"/>
      <c r="K29" s="49"/>
      <c r="L29" s="49"/>
    </row>
    <row r="30" spans="2:12" x14ac:dyDescent="0.25">
      <c r="B30" s="274" t="s">
        <v>393</v>
      </c>
      <c r="C30" s="274">
        <v>2</v>
      </c>
      <c r="D30" s="275">
        <v>7.05</v>
      </c>
      <c r="E30" s="307">
        <f t="shared" si="1"/>
        <v>14.1</v>
      </c>
      <c r="F30" s="48"/>
      <c r="G30" s="77"/>
      <c r="H30" s="75"/>
      <c r="I30" s="49"/>
      <c r="J30" s="49"/>
      <c r="K30" s="49"/>
      <c r="L30" s="49"/>
    </row>
    <row r="31" spans="2:12" x14ac:dyDescent="0.25">
      <c r="B31" s="274" t="s">
        <v>412</v>
      </c>
      <c r="C31" s="274">
        <v>2</v>
      </c>
      <c r="D31" s="275">
        <v>3.05</v>
      </c>
      <c r="E31" s="307">
        <f t="shared" si="1"/>
        <v>6.1</v>
      </c>
      <c r="F31" s="48"/>
      <c r="G31" s="244"/>
      <c r="H31" s="75"/>
      <c r="I31" s="49"/>
      <c r="J31" s="49"/>
      <c r="K31" s="49"/>
      <c r="L31" s="49"/>
    </row>
    <row r="32" spans="2:12" x14ac:dyDescent="0.25">
      <c r="B32" s="274"/>
      <c r="C32" s="274"/>
      <c r="D32" s="275"/>
      <c r="E32" s="307">
        <f t="shared" si="1"/>
        <v>0</v>
      </c>
      <c r="F32" s="48"/>
      <c r="G32" s="49"/>
      <c r="H32" s="75"/>
      <c r="I32" s="49"/>
      <c r="J32" s="49"/>
      <c r="K32" s="49"/>
      <c r="L32" s="49"/>
    </row>
    <row r="33" spans="2:12" x14ac:dyDescent="0.25">
      <c r="B33" s="274"/>
      <c r="C33" s="274"/>
      <c r="D33" s="275"/>
      <c r="E33" s="307">
        <f t="shared" si="1"/>
        <v>0</v>
      </c>
      <c r="F33" s="48"/>
      <c r="G33" s="77"/>
      <c r="H33" s="75"/>
      <c r="I33" s="49"/>
      <c r="J33" s="49"/>
      <c r="K33" s="49"/>
      <c r="L33" s="49"/>
    </row>
    <row r="34" spans="2:12" x14ac:dyDescent="0.25">
      <c r="B34" s="274"/>
      <c r="C34" s="274"/>
      <c r="D34" s="275"/>
      <c r="E34" s="307">
        <f t="shared" si="1"/>
        <v>0</v>
      </c>
      <c r="F34" s="48"/>
      <c r="G34" s="244"/>
      <c r="H34" s="75"/>
      <c r="I34" s="49"/>
      <c r="J34" s="49"/>
      <c r="K34" s="49"/>
      <c r="L34" s="49"/>
    </row>
    <row r="35" spans="2:12" x14ac:dyDescent="0.25">
      <c r="B35" s="274"/>
      <c r="C35" s="274"/>
      <c r="D35" s="275"/>
      <c r="E35" s="307">
        <f t="shared" si="1"/>
        <v>0</v>
      </c>
      <c r="F35" s="48"/>
      <c r="G35" s="48"/>
      <c r="H35" s="75"/>
      <c r="I35" s="49"/>
      <c r="J35" s="49"/>
      <c r="K35" s="49"/>
      <c r="L35" s="49"/>
    </row>
    <row r="36" spans="2:12" x14ac:dyDescent="0.25">
      <c r="B36" s="274"/>
      <c r="C36" s="274"/>
      <c r="D36" s="275"/>
      <c r="E36" s="307">
        <f t="shared" si="1"/>
        <v>0</v>
      </c>
      <c r="F36" s="48"/>
      <c r="G36" s="76"/>
      <c r="H36" s="75"/>
      <c r="I36" s="49"/>
      <c r="J36" s="49"/>
      <c r="K36" s="49"/>
      <c r="L36" s="49"/>
    </row>
    <row r="37" spans="2:12" x14ac:dyDescent="0.25">
      <c r="B37" s="276"/>
      <c r="C37" s="276"/>
      <c r="D37" s="277"/>
      <c r="E37" s="308">
        <f t="shared" si="1"/>
        <v>0</v>
      </c>
      <c r="F37" s="48"/>
      <c r="G37" s="281"/>
      <c r="H37" s="75"/>
      <c r="I37" s="49"/>
      <c r="J37" s="49"/>
      <c r="K37" s="49"/>
      <c r="L37" s="49"/>
    </row>
    <row r="38" spans="2:12" x14ac:dyDescent="0.25">
      <c r="B38" s="278"/>
      <c r="C38" s="279"/>
      <c r="D38" s="280"/>
      <c r="E38" s="309"/>
      <c r="F38" s="48"/>
      <c r="G38" s="48"/>
      <c r="H38" s="75"/>
      <c r="I38" s="49"/>
      <c r="J38" s="49"/>
      <c r="K38" s="49"/>
      <c r="L38" s="49"/>
    </row>
    <row r="39" spans="2:12" x14ac:dyDescent="0.25">
      <c r="B39" s="272" t="s">
        <v>346</v>
      </c>
      <c r="C39" s="330"/>
      <c r="D39" s="331"/>
      <c r="E39" s="310">
        <f>SUM(E40:E43)</f>
        <v>46.5</v>
      </c>
      <c r="F39" s="48"/>
      <c r="G39" s="48"/>
      <c r="H39" s="75"/>
      <c r="I39" s="49"/>
      <c r="J39" s="49"/>
      <c r="K39" s="49"/>
      <c r="L39" s="49"/>
    </row>
    <row r="40" spans="2:12" x14ac:dyDescent="0.25">
      <c r="B40" s="282" t="s">
        <v>26</v>
      </c>
      <c r="C40" s="274">
        <v>5</v>
      </c>
      <c r="D40" s="275">
        <v>0.5</v>
      </c>
      <c r="E40" s="307">
        <f t="shared" ref="E40:E43" si="2">D40*C40</f>
        <v>2.5</v>
      </c>
      <c r="F40" s="48"/>
      <c r="G40" s="48"/>
      <c r="H40" s="75"/>
      <c r="I40" s="49"/>
      <c r="J40" s="49"/>
      <c r="K40" s="49"/>
      <c r="L40" s="49"/>
    </row>
    <row r="41" spans="2:12" x14ac:dyDescent="0.25">
      <c r="B41" s="345" t="s">
        <v>24</v>
      </c>
      <c r="C41" s="349">
        <v>11</v>
      </c>
      <c r="D41" s="347">
        <f>4</f>
        <v>4</v>
      </c>
      <c r="E41" s="348">
        <f t="shared" ref="E41" si="3">D41*C41</f>
        <v>44</v>
      </c>
      <c r="F41" s="48"/>
      <c r="G41" s="48"/>
      <c r="H41" s="75"/>
      <c r="I41" s="49"/>
      <c r="J41" s="49"/>
      <c r="K41" s="49"/>
      <c r="L41" s="49"/>
    </row>
    <row r="42" spans="2:12" x14ac:dyDescent="0.25">
      <c r="B42" s="345"/>
      <c r="C42" s="349"/>
      <c r="D42" s="347"/>
      <c r="E42" s="348">
        <f t="shared" ref="E42" si="4">D42*C42</f>
        <v>0</v>
      </c>
      <c r="F42" s="48"/>
      <c r="G42" s="48"/>
      <c r="H42" s="75"/>
      <c r="I42" s="49"/>
      <c r="J42" s="49"/>
      <c r="K42" s="49"/>
      <c r="L42" s="49"/>
    </row>
    <row r="43" spans="2:12" x14ac:dyDescent="0.25">
      <c r="B43" s="283"/>
      <c r="C43" s="276"/>
      <c r="D43" s="277"/>
      <c r="E43" s="308">
        <f t="shared" si="2"/>
        <v>0</v>
      </c>
      <c r="F43" s="48"/>
      <c r="G43" s="76"/>
      <c r="H43" s="75"/>
      <c r="I43" s="49"/>
      <c r="J43" s="49"/>
      <c r="K43" s="49"/>
      <c r="L43" s="49"/>
    </row>
    <row r="44" spans="2:12" x14ac:dyDescent="0.25">
      <c r="B44" s="278"/>
      <c r="C44" s="284"/>
      <c r="D44" s="280"/>
      <c r="E44" s="309"/>
      <c r="F44" s="48"/>
      <c r="G44" s="48"/>
      <c r="H44" s="75"/>
      <c r="I44" s="49"/>
      <c r="J44" s="49"/>
      <c r="K44" s="49"/>
      <c r="L44" s="49"/>
    </row>
    <row r="45" spans="2:12" x14ac:dyDescent="0.25">
      <c r="B45" s="272" t="s">
        <v>310</v>
      </c>
      <c r="C45" s="332"/>
      <c r="D45" s="333"/>
      <c r="E45" s="310">
        <f>SUM(E46:E49)</f>
        <v>144</v>
      </c>
      <c r="F45" s="48"/>
      <c r="G45" s="48"/>
      <c r="H45" s="75"/>
      <c r="I45" s="49"/>
      <c r="J45" s="49"/>
      <c r="K45" s="49"/>
      <c r="L45" s="49"/>
    </row>
    <row r="46" spans="2:12" x14ac:dyDescent="0.25">
      <c r="B46" s="368" t="s">
        <v>394</v>
      </c>
      <c r="C46" s="285">
        <f>$D$17</f>
        <v>180</v>
      </c>
      <c r="D46" s="275">
        <v>0.5</v>
      </c>
      <c r="E46" s="307">
        <f>D46*C46</f>
        <v>90</v>
      </c>
      <c r="F46" s="48"/>
      <c r="G46" s="76"/>
      <c r="H46" s="75"/>
      <c r="I46" s="49"/>
      <c r="J46" s="49"/>
      <c r="K46" s="49"/>
      <c r="L46" s="49"/>
    </row>
    <row r="47" spans="2:12" x14ac:dyDescent="0.25">
      <c r="B47" s="369" t="s">
        <v>395</v>
      </c>
      <c r="C47" s="346">
        <f>$D$17</f>
        <v>180</v>
      </c>
      <c r="D47" s="347">
        <v>0.15</v>
      </c>
      <c r="E47" s="348">
        <f t="shared" ref="E47:E48" si="5">D47*C47</f>
        <v>27</v>
      </c>
      <c r="F47" s="48"/>
      <c r="G47" s="76"/>
      <c r="H47" s="75"/>
      <c r="I47" s="49"/>
      <c r="J47" s="49"/>
      <c r="K47" s="49"/>
      <c r="L47" s="49"/>
    </row>
    <row r="48" spans="2:12" x14ac:dyDescent="0.25">
      <c r="B48" s="369" t="s">
        <v>329</v>
      </c>
      <c r="C48" s="346">
        <f>$D$17</f>
        <v>180</v>
      </c>
      <c r="D48" s="347">
        <v>0.15</v>
      </c>
      <c r="E48" s="348">
        <f t="shared" si="5"/>
        <v>27</v>
      </c>
      <c r="F48" s="48"/>
      <c r="G48" s="76"/>
      <c r="H48" s="75"/>
      <c r="I48" s="49"/>
      <c r="J48" s="49"/>
      <c r="K48" s="49"/>
      <c r="L48" s="49"/>
    </row>
    <row r="49" spans="2:12" x14ac:dyDescent="0.25">
      <c r="B49" s="370"/>
      <c r="C49" s="286"/>
      <c r="D49" s="277"/>
      <c r="E49" s="308">
        <f>D49*C49</f>
        <v>0</v>
      </c>
      <c r="F49" s="48"/>
      <c r="G49" s="48"/>
      <c r="H49" s="75"/>
      <c r="I49" s="49"/>
      <c r="J49" s="49"/>
      <c r="K49" s="49"/>
      <c r="L49" s="49"/>
    </row>
    <row r="50" spans="2:12" x14ac:dyDescent="0.25">
      <c r="B50" s="278"/>
      <c r="C50" s="284"/>
      <c r="D50" s="280"/>
      <c r="E50" s="309"/>
      <c r="F50" s="48"/>
      <c r="G50" s="48"/>
      <c r="H50" s="75"/>
      <c r="I50" s="49"/>
      <c r="J50" s="49"/>
      <c r="K50" s="49"/>
      <c r="L50" s="49"/>
    </row>
    <row r="51" spans="2:12" x14ac:dyDescent="0.25">
      <c r="B51" s="371" t="s">
        <v>35</v>
      </c>
      <c r="C51" s="372">
        <f>SUM(C53:C63)</f>
        <v>11.863333333333333</v>
      </c>
      <c r="D51" s="342" t="s">
        <v>320</v>
      </c>
      <c r="E51" s="343" t="s">
        <v>369</v>
      </c>
      <c r="F51" s="48"/>
      <c r="G51" s="76"/>
      <c r="H51" s="75"/>
      <c r="I51" s="49"/>
      <c r="J51" s="49"/>
      <c r="K51" s="49"/>
      <c r="L51" s="49"/>
    </row>
    <row r="52" spans="2:12" x14ac:dyDescent="0.25">
      <c r="B52" s="272" t="s">
        <v>333</v>
      </c>
      <c r="C52" s="332"/>
      <c r="D52" s="288">
        <f>SUM(D53:D63)</f>
        <v>169.75333333333333</v>
      </c>
      <c r="E52" s="310">
        <f>SUM(E53:E63)</f>
        <v>218.20666666666665</v>
      </c>
      <c r="F52" s="48"/>
      <c r="G52" s="76"/>
      <c r="H52" s="75"/>
      <c r="I52" s="49"/>
      <c r="J52" s="49"/>
      <c r="K52" s="49"/>
      <c r="L52" s="49"/>
    </row>
    <row r="53" spans="2:12" x14ac:dyDescent="0.25">
      <c r="B53" s="368" t="s">
        <v>399</v>
      </c>
      <c r="C53" s="350">
        <f>((0.5/60))*$D$17</f>
        <v>1.5</v>
      </c>
      <c r="D53" s="289">
        <f t="shared" ref="D53:D60" si="6">C53*$D$10</f>
        <v>21</v>
      </c>
      <c r="E53" s="307">
        <f t="shared" ref="E53:E60" si="7">C53*$D$8</f>
        <v>27</v>
      </c>
      <c r="F53" s="48"/>
      <c r="G53" s="48"/>
      <c r="H53" s="75"/>
      <c r="I53" s="49"/>
      <c r="J53" s="49"/>
      <c r="K53" s="49"/>
      <c r="L53" s="49"/>
    </row>
    <row r="54" spans="2:12" x14ac:dyDescent="0.25">
      <c r="B54" s="373" t="s">
        <v>401</v>
      </c>
      <c r="C54" s="350">
        <f>$D$17*(10/60)/8</f>
        <v>3.75</v>
      </c>
      <c r="D54" s="289">
        <f t="shared" si="6"/>
        <v>52.5</v>
      </c>
      <c r="E54" s="307">
        <f t="shared" si="7"/>
        <v>67.5</v>
      </c>
      <c r="F54" s="48"/>
      <c r="G54" s="48"/>
      <c r="H54" s="75"/>
      <c r="I54" s="49"/>
      <c r="J54" s="49"/>
      <c r="K54" s="49"/>
      <c r="L54" s="49"/>
    </row>
    <row r="55" spans="2:12" x14ac:dyDescent="0.25">
      <c r="B55" s="373" t="s">
        <v>396</v>
      </c>
      <c r="C55" s="350">
        <f>0.5</f>
        <v>0.5</v>
      </c>
      <c r="D55" s="289">
        <f t="shared" si="6"/>
        <v>7</v>
      </c>
      <c r="E55" s="307">
        <f t="shared" si="7"/>
        <v>9</v>
      </c>
      <c r="F55" s="48"/>
      <c r="G55" s="48"/>
      <c r="H55" s="75"/>
      <c r="I55" s="49"/>
      <c r="J55" s="49"/>
      <c r="K55" s="49"/>
      <c r="L55" s="49"/>
    </row>
    <row r="56" spans="2:12" x14ac:dyDescent="0.25">
      <c r="B56" s="373" t="s">
        <v>397</v>
      </c>
      <c r="C56" s="350">
        <f>$D$17*(60/60)/60</f>
        <v>3</v>
      </c>
      <c r="D56" s="289">
        <f t="shared" si="6"/>
        <v>42</v>
      </c>
      <c r="E56" s="307">
        <f t="shared" si="7"/>
        <v>54</v>
      </c>
      <c r="F56" s="48"/>
      <c r="G56" s="48"/>
      <c r="H56" s="75"/>
      <c r="I56" s="49"/>
      <c r="J56" s="49"/>
      <c r="K56" s="49"/>
      <c r="L56" s="49"/>
    </row>
    <row r="57" spans="2:12" x14ac:dyDescent="0.25">
      <c r="B57" s="373" t="s">
        <v>402</v>
      </c>
      <c r="C57" s="350">
        <f>$D$13*(20/60)/60</f>
        <v>0.77999999999999992</v>
      </c>
      <c r="D57" s="289">
        <f t="shared" si="6"/>
        <v>10.919999999999998</v>
      </c>
      <c r="E57" s="307">
        <f t="shared" si="7"/>
        <v>14.04</v>
      </c>
      <c r="F57" s="48"/>
      <c r="G57" s="48"/>
      <c r="H57" s="75"/>
      <c r="I57" s="49"/>
      <c r="J57" s="49"/>
      <c r="K57" s="49"/>
      <c r="L57" s="49"/>
    </row>
    <row r="58" spans="2:12" x14ac:dyDescent="0.25">
      <c r="B58" s="374" t="s">
        <v>395</v>
      </c>
      <c r="C58" s="350">
        <f>$D$17*(20/60)/60</f>
        <v>1</v>
      </c>
      <c r="D58" s="289">
        <f t="shared" si="6"/>
        <v>14</v>
      </c>
      <c r="E58" s="307">
        <f t="shared" si="7"/>
        <v>18</v>
      </c>
      <c r="F58" s="48"/>
      <c r="G58" s="48"/>
      <c r="H58" s="75"/>
      <c r="I58" s="49"/>
      <c r="J58" s="49"/>
      <c r="K58" s="49"/>
      <c r="L58" s="49"/>
    </row>
    <row r="59" spans="2:12" x14ac:dyDescent="0.25">
      <c r="B59" s="375" t="s">
        <v>398</v>
      </c>
      <c r="C59" s="350">
        <v>0.5</v>
      </c>
      <c r="D59" s="289">
        <f t="shared" si="6"/>
        <v>7</v>
      </c>
      <c r="E59" s="307">
        <f t="shared" si="7"/>
        <v>9</v>
      </c>
      <c r="F59" s="48"/>
      <c r="G59" s="48"/>
      <c r="H59" s="75"/>
      <c r="I59" s="49"/>
      <c r="J59" s="49"/>
      <c r="K59" s="49"/>
      <c r="L59" s="49"/>
    </row>
    <row r="60" spans="2:12" x14ac:dyDescent="0.25">
      <c r="B60" s="374" t="s">
        <v>329</v>
      </c>
      <c r="C60" s="376">
        <f>$D$17*(10/60)/60</f>
        <v>0.5</v>
      </c>
      <c r="D60" s="289">
        <f t="shared" si="6"/>
        <v>7</v>
      </c>
      <c r="E60" s="307">
        <f t="shared" si="7"/>
        <v>9</v>
      </c>
      <c r="F60" s="48"/>
      <c r="G60" s="48"/>
      <c r="H60" s="75"/>
      <c r="I60" s="49"/>
      <c r="J60" s="49"/>
      <c r="K60" s="49"/>
      <c r="L60" s="49"/>
    </row>
    <row r="61" spans="2:12" x14ac:dyDescent="0.25">
      <c r="B61" s="375"/>
      <c r="C61" s="293"/>
      <c r="D61" s="289">
        <f>C61*$D$8</f>
        <v>0</v>
      </c>
      <c r="E61" s="307">
        <f>D61*C61</f>
        <v>0</v>
      </c>
      <c r="F61" s="48"/>
      <c r="G61" s="48"/>
      <c r="H61" s="75"/>
      <c r="I61" s="49"/>
      <c r="J61" s="49"/>
      <c r="K61" s="49"/>
      <c r="L61" s="49"/>
    </row>
    <row r="62" spans="2:12" x14ac:dyDescent="0.25">
      <c r="B62" s="373"/>
      <c r="C62" s="293"/>
      <c r="D62" s="289">
        <f>C62*$D$8</f>
        <v>0</v>
      </c>
      <c r="E62" s="307">
        <f>D62*C62</f>
        <v>0</v>
      </c>
      <c r="F62" s="48"/>
      <c r="G62" s="48"/>
      <c r="H62" s="75"/>
      <c r="I62" s="49"/>
      <c r="J62" s="49"/>
      <c r="K62" s="49"/>
      <c r="L62" s="49"/>
    </row>
    <row r="63" spans="2:12" x14ac:dyDescent="0.25">
      <c r="B63" s="370" t="s">
        <v>335</v>
      </c>
      <c r="C63" s="351">
        <f>0.25*8/6</f>
        <v>0.33333333333333331</v>
      </c>
      <c r="D63" s="291">
        <f>C63*$D$11</f>
        <v>8.3333333333333321</v>
      </c>
      <c r="E63" s="308">
        <f>C63*$D$9</f>
        <v>10.666666666666666</v>
      </c>
      <c r="F63" s="280"/>
      <c r="G63" s="48"/>
      <c r="H63" s="48"/>
      <c r="I63" s="75"/>
      <c r="J63" s="49"/>
      <c r="K63" s="49"/>
      <c r="L63" s="49"/>
    </row>
    <row r="64" spans="2:12" x14ac:dyDescent="0.25">
      <c r="B64" s="278"/>
      <c r="C64" s="356"/>
      <c r="D64" s="280"/>
      <c r="E64" s="309"/>
      <c r="F64" s="280"/>
      <c r="L64" s="49"/>
    </row>
    <row r="65" spans="2:5" x14ac:dyDescent="0.25">
      <c r="B65" s="272" t="s">
        <v>362</v>
      </c>
      <c r="C65" s="334"/>
      <c r="D65" s="288">
        <f>SUM(D66:D75)</f>
        <v>150</v>
      </c>
      <c r="E65" s="310">
        <f>SUM(E66:E75)</f>
        <v>200</v>
      </c>
    </row>
    <row r="66" spans="2:5" x14ac:dyDescent="0.25">
      <c r="B66" s="274" t="s">
        <v>322</v>
      </c>
      <c r="C66" s="293">
        <f>8</f>
        <v>8</v>
      </c>
      <c r="D66" s="289">
        <f>$D$7*C66*$D$6</f>
        <v>150</v>
      </c>
      <c r="E66" s="307">
        <f>$D$7*C66</f>
        <v>200</v>
      </c>
    </row>
    <row r="67" spans="2:5" x14ac:dyDescent="0.25">
      <c r="B67" s="276" t="s">
        <v>328</v>
      </c>
      <c r="C67" s="290">
        <f>$D$133</f>
        <v>0</v>
      </c>
      <c r="D67" s="291">
        <f>$D$7*C67*$D$6</f>
        <v>0</v>
      </c>
      <c r="E67" s="307">
        <f>$D$7*C67</f>
        <v>0</v>
      </c>
    </row>
  </sheetData>
  <mergeCells count="5">
    <mergeCell ref="B2:K2"/>
    <mergeCell ref="C3:K3"/>
    <mergeCell ref="B5:E5"/>
    <mergeCell ref="G5:K5"/>
    <mergeCell ref="C25:E25"/>
  </mergeCells>
  <pageMargins left="0.45" right="0.2" top="0.75" bottom="0.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61"/>
  <sheetViews>
    <sheetView topLeftCell="F4" zoomScale="125" zoomScaleNormal="125" workbookViewId="0">
      <selection activeCell="P23" sqref="P23"/>
    </sheetView>
  </sheetViews>
  <sheetFormatPr defaultColWidth="19.1796875" defaultRowHeight="10.5" x14ac:dyDescent="0.25"/>
  <cols>
    <col min="1" max="1" width="1.81640625" style="49" customWidth="1"/>
    <col min="2" max="2" width="10.7265625" style="49" customWidth="1"/>
    <col min="3" max="3" width="21.26953125" style="49" bestFit="1" customWidth="1"/>
    <col min="4" max="4" width="5.7265625" style="49" bestFit="1" customWidth="1"/>
    <col min="5" max="5" width="5.90625" style="49" bestFit="1" customWidth="1"/>
    <col min="6" max="6" width="2.36328125" style="75" customWidth="1"/>
    <col min="7" max="7" width="15.7265625" style="75" customWidth="1"/>
    <col min="8" max="8" width="7.453125" style="49" bestFit="1" customWidth="1"/>
    <col min="9" max="9" width="6.7265625" style="48" bestFit="1" customWidth="1"/>
    <col min="10" max="10" width="9.6328125" style="48" bestFit="1" customWidth="1"/>
    <col min="11" max="11" width="6.90625" style="48" bestFit="1" customWidth="1"/>
    <col min="12" max="12" width="0.90625" style="75" customWidth="1"/>
    <col min="13" max="16384" width="19.1796875" style="49"/>
  </cols>
  <sheetData>
    <row r="1" spans="2:18" ht="4" customHeight="1" x14ac:dyDescent="0.25"/>
    <row r="2" spans="2:18" ht="24.5" customHeight="1" x14ac:dyDescent="0.25">
      <c r="B2" s="558" t="s">
        <v>391</v>
      </c>
      <c r="C2" s="559"/>
      <c r="D2" s="559"/>
      <c r="E2" s="559"/>
      <c r="F2" s="559"/>
      <c r="G2" s="559"/>
      <c r="H2" s="559"/>
      <c r="I2" s="559"/>
      <c r="J2" s="559"/>
      <c r="K2" s="560"/>
    </row>
    <row r="3" spans="2:18" ht="13" x14ac:dyDescent="0.3">
      <c r="B3" s="337" t="s">
        <v>309</v>
      </c>
      <c r="C3" s="561" t="s">
        <v>390</v>
      </c>
      <c r="D3" s="561"/>
      <c r="E3" s="561"/>
      <c r="F3" s="561"/>
      <c r="G3" s="561"/>
      <c r="H3" s="561"/>
      <c r="I3" s="561"/>
      <c r="J3" s="561"/>
      <c r="K3" s="562"/>
      <c r="L3" s="49"/>
    </row>
    <row r="4" spans="2:18" x14ac:dyDescent="0.25">
      <c r="L4" s="49"/>
    </row>
    <row r="5" spans="2:18" x14ac:dyDescent="0.25">
      <c r="B5" s="572" t="s">
        <v>387</v>
      </c>
      <c r="C5" s="572"/>
      <c r="D5" s="572"/>
      <c r="E5" s="572"/>
      <c r="G5" s="566" t="s">
        <v>344</v>
      </c>
      <c r="H5" s="567"/>
      <c r="I5" s="567"/>
      <c r="J5" s="567"/>
      <c r="K5" s="568"/>
      <c r="L5" s="49"/>
    </row>
    <row r="6" spans="2:18" x14ac:dyDescent="0.25">
      <c r="B6" s="303"/>
      <c r="C6" s="304" t="s">
        <v>353</v>
      </c>
      <c r="D6" s="229">
        <v>25</v>
      </c>
      <c r="E6" s="230" t="s">
        <v>323</v>
      </c>
      <c r="G6" s="226"/>
      <c r="H6" s="227" t="s">
        <v>379</v>
      </c>
      <c r="I6" s="228" t="s">
        <v>381</v>
      </c>
      <c r="J6" s="227" t="s">
        <v>383</v>
      </c>
      <c r="K6" s="312" t="s">
        <v>381</v>
      </c>
      <c r="L6" s="48"/>
      <c r="M6" s="48"/>
      <c r="N6" s="48"/>
      <c r="O6" s="48"/>
      <c r="P6" s="48"/>
      <c r="Q6" s="48"/>
      <c r="R6" s="48"/>
    </row>
    <row r="7" spans="2:18" x14ac:dyDescent="0.25">
      <c r="B7" s="451"/>
      <c r="C7" s="452" t="s">
        <v>521</v>
      </c>
      <c r="D7" s="453">
        <v>0.75</v>
      </c>
      <c r="E7" s="49" t="s">
        <v>522</v>
      </c>
      <c r="G7" s="231" t="s">
        <v>340</v>
      </c>
      <c r="H7" s="232" t="s">
        <v>380</v>
      </c>
      <c r="I7" s="233" t="s">
        <v>382</v>
      </c>
      <c r="J7" s="232" t="s">
        <v>384</v>
      </c>
      <c r="K7" s="313" t="s">
        <v>385</v>
      </c>
      <c r="L7" s="48"/>
      <c r="M7" s="48"/>
      <c r="N7" s="48"/>
      <c r="O7" s="48"/>
      <c r="P7" s="48"/>
      <c r="Q7" s="48"/>
      <c r="R7" s="48"/>
    </row>
    <row r="8" spans="2:18" x14ac:dyDescent="0.25">
      <c r="B8" s="305"/>
      <c r="C8" s="294" t="s">
        <v>364</v>
      </c>
      <c r="D8" s="234">
        <v>18</v>
      </c>
      <c r="E8" s="235" t="s">
        <v>323</v>
      </c>
      <c r="F8" s="244"/>
      <c r="G8" s="236" t="s">
        <v>341</v>
      </c>
      <c r="H8" s="237">
        <f>$J$8/$D$13</f>
        <v>0.8780970071002725</v>
      </c>
      <c r="I8" s="237">
        <f>$J$8/$D$17</f>
        <v>2.1952425177506814</v>
      </c>
      <c r="J8" s="238">
        <f>E29</f>
        <v>87.929999999999993</v>
      </c>
      <c r="K8" s="314">
        <f t="shared" ref="K8:K18" si="0">J8*$D$14</f>
        <v>527.57999999999993</v>
      </c>
      <c r="L8" s="48"/>
      <c r="M8" s="48"/>
      <c r="N8" s="535"/>
      <c r="O8" s="535"/>
      <c r="P8" s="535" t="s">
        <v>757</v>
      </c>
      <c r="Q8" s="48"/>
      <c r="R8" s="48"/>
    </row>
    <row r="9" spans="2:18" x14ac:dyDescent="0.25">
      <c r="B9" s="305"/>
      <c r="C9" s="294" t="s">
        <v>365</v>
      </c>
      <c r="D9" s="234">
        <v>32</v>
      </c>
      <c r="E9" s="239" t="s">
        <v>323</v>
      </c>
      <c r="G9" s="240" t="s">
        <v>389</v>
      </c>
      <c r="H9" s="241">
        <f>$J$9/$D$13</f>
        <v>2.4369207918485007</v>
      </c>
      <c r="I9" s="242">
        <f>$J$9/$D$17</f>
        <v>6.0923019796212516</v>
      </c>
      <c r="J9" s="243">
        <f>$E$25*$D$15</f>
        <v>244.0259373333333</v>
      </c>
      <c r="K9" s="315">
        <f t="shared" si="0"/>
        <v>1464.1556239999998</v>
      </c>
      <c r="L9" s="48"/>
      <c r="M9" s="48"/>
      <c r="N9" s="534" t="s">
        <v>502</v>
      </c>
      <c r="O9" s="244">
        <v>7344</v>
      </c>
      <c r="P9" s="75">
        <f>O9*H20</f>
        <v>2646.2675527721085</v>
      </c>
      <c r="Q9" s="48"/>
      <c r="R9" s="48"/>
    </row>
    <row r="10" spans="2:18" x14ac:dyDescent="0.25">
      <c r="B10" s="305"/>
      <c r="C10" s="294" t="s">
        <v>367</v>
      </c>
      <c r="D10" s="234">
        <v>14</v>
      </c>
      <c r="E10" s="235" t="s">
        <v>323</v>
      </c>
      <c r="F10" s="244"/>
      <c r="G10" s="245" t="s">
        <v>372</v>
      </c>
      <c r="H10" s="246">
        <f>$J$10/$D$13</f>
        <v>2.4369207918485007</v>
      </c>
      <c r="I10" s="247">
        <f>$J$10/$D$17</f>
        <v>6.0923019796212516</v>
      </c>
      <c r="J10" s="248">
        <f>SUM(J11:J14)</f>
        <v>244.0259373333333</v>
      </c>
      <c r="K10" s="316">
        <f t="shared" si="0"/>
        <v>1464.1556239999998</v>
      </c>
      <c r="L10" s="48"/>
      <c r="M10" s="48"/>
      <c r="N10" s="534" t="s">
        <v>503</v>
      </c>
      <c r="O10" s="244">
        <v>18259.560719999998</v>
      </c>
      <c r="P10" s="75"/>
      <c r="Q10" s="48"/>
      <c r="R10" s="48"/>
    </row>
    <row r="11" spans="2:18" x14ac:dyDescent="0.25">
      <c r="B11" s="305"/>
      <c r="C11" s="294" t="s">
        <v>366</v>
      </c>
      <c r="D11" s="234">
        <v>25</v>
      </c>
      <c r="E11" s="239" t="s">
        <v>323</v>
      </c>
      <c r="G11" s="249" t="s">
        <v>408</v>
      </c>
      <c r="H11" s="250">
        <f>J11/$D$13</f>
        <v>0.89856896052408186</v>
      </c>
      <c r="I11" s="250">
        <f>$J$11/$D$17</f>
        <v>2.2464224013102045</v>
      </c>
      <c r="J11" s="251">
        <f>E29+E40</f>
        <v>89.97999999999999</v>
      </c>
      <c r="K11" s="317">
        <f t="shared" si="0"/>
        <v>539.87999999999988</v>
      </c>
      <c r="L11" s="49"/>
      <c r="N11" s="534" t="s">
        <v>507</v>
      </c>
      <c r="O11" s="244">
        <v>5044.616</v>
      </c>
      <c r="P11" s="75"/>
    </row>
    <row r="12" spans="2:18" x14ac:dyDescent="0.25">
      <c r="B12" s="305"/>
      <c r="C12" s="294" t="s">
        <v>388</v>
      </c>
      <c r="D12" s="252">
        <v>0.13</v>
      </c>
      <c r="E12" s="253"/>
      <c r="G12" s="249" t="s">
        <v>361</v>
      </c>
      <c r="H12" s="250">
        <f>$J$12/$D$13</f>
        <v>0.78059724843630895</v>
      </c>
      <c r="I12" s="250">
        <f>$J$12/$D$17</f>
        <v>1.9514931210907724</v>
      </c>
      <c r="J12" s="251">
        <f>E49</f>
        <v>78.166666666666671</v>
      </c>
      <c r="K12" s="317">
        <f t="shared" si="0"/>
        <v>469</v>
      </c>
      <c r="L12" s="49"/>
      <c r="N12" s="534" t="s">
        <v>506</v>
      </c>
      <c r="O12" s="244">
        <v>1181.4399999999998</v>
      </c>
    </row>
    <row r="13" spans="2:18" x14ac:dyDescent="0.25">
      <c r="B13" s="249"/>
      <c r="C13" s="294" t="s">
        <v>356</v>
      </c>
      <c r="D13" s="254">
        <f>SUM(C30:C42)*(1-$D$12)</f>
        <v>100.137</v>
      </c>
      <c r="E13" s="255" t="s">
        <v>21</v>
      </c>
      <c r="G13" s="249" t="s">
        <v>362</v>
      </c>
      <c r="H13" s="250">
        <f>$J$13/$D$13</f>
        <v>0.66575458288810985</v>
      </c>
      <c r="I13" s="250">
        <f>$J$13/$D$17</f>
        <v>1.6643864572202747</v>
      </c>
      <c r="J13" s="251">
        <f>E53</f>
        <v>66.666666666666657</v>
      </c>
      <c r="K13" s="317">
        <f t="shared" si="0"/>
        <v>399.99999999999994</v>
      </c>
      <c r="L13" s="49"/>
      <c r="N13" s="534" t="s">
        <v>508</v>
      </c>
      <c r="O13" s="244">
        <v>2974.9759999999992</v>
      </c>
    </row>
    <row r="14" spans="2:18" x14ac:dyDescent="0.25">
      <c r="B14" s="249"/>
      <c r="C14" s="294" t="s">
        <v>337</v>
      </c>
      <c r="D14" s="259">
        <v>6</v>
      </c>
      <c r="E14" s="253"/>
      <c r="G14" s="256" t="s">
        <v>363</v>
      </c>
      <c r="H14" s="257">
        <f>$J$14/$D$13</f>
        <v>9.2000000000000012E-2</v>
      </c>
      <c r="I14" s="257">
        <f>$J$14/$D$17</f>
        <v>0.23</v>
      </c>
      <c r="J14" s="258">
        <f>E44</f>
        <v>9.2126040000000007</v>
      </c>
      <c r="K14" s="318">
        <f t="shared" si="0"/>
        <v>55.275624000000008</v>
      </c>
      <c r="L14" s="49"/>
      <c r="N14" s="534" t="s">
        <v>520</v>
      </c>
      <c r="O14" s="244">
        <v>19200</v>
      </c>
    </row>
    <row r="15" spans="2:18" x14ac:dyDescent="0.25">
      <c r="B15" s="305"/>
      <c r="C15" s="294" t="s">
        <v>331</v>
      </c>
      <c r="D15" s="263">
        <v>1</v>
      </c>
      <c r="E15" s="239" t="s">
        <v>336</v>
      </c>
      <c r="G15" s="260" t="s">
        <v>373</v>
      </c>
      <c r="H15" s="261">
        <f>$J$15/$D$13</f>
        <v>0</v>
      </c>
      <c r="I15" s="261">
        <f>$J$15/$D$17</f>
        <v>0</v>
      </c>
      <c r="J15" s="262">
        <f>J9-J10</f>
        <v>0</v>
      </c>
      <c r="K15" s="319">
        <f t="shared" si="0"/>
        <v>0</v>
      </c>
      <c r="L15" s="49"/>
    </row>
    <row r="16" spans="2:18" x14ac:dyDescent="0.25">
      <c r="B16" s="305"/>
      <c r="C16" s="294" t="s">
        <v>378</v>
      </c>
      <c r="D16" s="266">
        <v>2.5</v>
      </c>
      <c r="E16" s="239" t="s">
        <v>21</v>
      </c>
      <c r="G16" s="264" t="s">
        <v>342</v>
      </c>
      <c r="H16" s="246">
        <f>$J$16/$D$13</f>
        <v>1.4463518313244186</v>
      </c>
      <c r="I16" s="247">
        <f>$J$16/$D$17</f>
        <v>3.6158795783110467</v>
      </c>
      <c r="J16" s="248">
        <f>SUM(E49,E53)</f>
        <v>144.83333333333331</v>
      </c>
      <c r="K16" s="316">
        <f t="shared" si="0"/>
        <v>868.99999999999989</v>
      </c>
      <c r="L16" s="49"/>
    </row>
    <row r="17" spans="2:12" x14ac:dyDescent="0.25">
      <c r="B17" s="305"/>
      <c r="C17" s="294" t="s">
        <v>359</v>
      </c>
      <c r="D17" s="254">
        <f>D13/D16</f>
        <v>40.0548</v>
      </c>
      <c r="E17" s="255" t="s">
        <v>21</v>
      </c>
      <c r="G17" s="265" t="s">
        <v>352</v>
      </c>
      <c r="H17" s="250">
        <f>$J$17/$D$13</f>
        <v>1.1068169940514827</v>
      </c>
      <c r="I17" s="364">
        <f>$J$17/$D$17</f>
        <v>2.7670424851287065</v>
      </c>
      <c r="J17" s="251">
        <f>SUM(D49,D53)</f>
        <v>110.83333333333331</v>
      </c>
      <c r="K17" s="317">
        <f t="shared" si="0"/>
        <v>664.99999999999989</v>
      </c>
      <c r="L17" s="49"/>
    </row>
    <row r="18" spans="2:12" x14ac:dyDescent="0.25">
      <c r="G18" s="267" t="s">
        <v>343</v>
      </c>
      <c r="H18" s="257">
        <f>$J$18/$D$13</f>
        <v>0.3395348372729361</v>
      </c>
      <c r="I18" s="257">
        <f>$J$18/$D$17</f>
        <v>0.84883709318234024</v>
      </c>
      <c r="J18" s="258">
        <f>J16-J17</f>
        <v>34</v>
      </c>
      <c r="K18" s="318">
        <f t="shared" si="0"/>
        <v>204</v>
      </c>
      <c r="L18" s="49"/>
    </row>
    <row r="19" spans="2:12" ht="12.5" customHeight="1" x14ac:dyDescent="0.25">
      <c r="C19" s="381" t="s">
        <v>425</v>
      </c>
      <c r="G19" s="295"/>
      <c r="H19" s="296"/>
      <c r="I19" s="296"/>
      <c r="J19" s="297"/>
      <c r="K19" s="320"/>
      <c r="L19" s="49"/>
    </row>
    <row r="20" spans="2:12" x14ac:dyDescent="0.25">
      <c r="B20" s="298"/>
      <c r="C20" s="386" t="s">
        <v>451</v>
      </c>
      <c r="D20" s="387">
        <f>23/15</f>
        <v>1.5333333333333334</v>
      </c>
      <c r="E20" s="301" t="s">
        <v>20</v>
      </c>
      <c r="G20" s="268" t="s">
        <v>392</v>
      </c>
      <c r="H20" s="341">
        <f>H8/H9</f>
        <v>0.36033054912474244</v>
      </c>
      <c r="I20" s="338"/>
      <c r="J20" s="339"/>
      <c r="K20" s="340"/>
      <c r="L20" s="49"/>
    </row>
    <row r="21" spans="2:12" x14ac:dyDescent="0.25">
      <c r="G21" s="236" t="s">
        <v>374</v>
      </c>
      <c r="H21" s="237">
        <f>H18+H15</f>
        <v>0.3395348372729361</v>
      </c>
      <c r="I21" s="237">
        <f>I18+I15</f>
        <v>0.84883709318234024</v>
      </c>
      <c r="J21" s="238">
        <f>J18+J15</f>
        <v>34</v>
      </c>
      <c r="K21" s="314">
        <f>K18+K15</f>
        <v>204</v>
      </c>
      <c r="L21" s="49"/>
    </row>
    <row r="22" spans="2:12" x14ac:dyDescent="0.25">
      <c r="G22" s="321" t="s">
        <v>375</v>
      </c>
      <c r="H22" s="241">
        <f>H8+H15</f>
        <v>0.8780970071002725</v>
      </c>
      <c r="I22" s="241">
        <f>I8+I15</f>
        <v>2.1952425177506814</v>
      </c>
      <c r="J22" s="243">
        <f>J8+J15</f>
        <v>87.929999999999993</v>
      </c>
      <c r="K22" s="315">
        <f>K8+K15</f>
        <v>527.57999999999993</v>
      </c>
      <c r="L22" s="49"/>
    </row>
    <row r="23" spans="2:12" x14ac:dyDescent="0.25">
      <c r="G23" s="269"/>
      <c r="H23" s="270"/>
      <c r="I23" s="270"/>
      <c r="J23" s="270"/>
      <c r="L23" s="49"/>
    </row>
    <row r="24" spans="2:12" x14ac:dyDescent="0.25">
      <c r="B24" s="325" t="s">
        <v>376</v>
      </c>
      <c r="C24" s="326"/>
      <c r="D24" s="326"/>
      <c r="E24" s="327"/>
      <c r="G24" s="49"/>
      <c r="H24" s="48"/>
      <c r="K24" s="75"/>
      <c r="L24" s="49"/>
    </row>
    <row r="25" spans="2:12" x14ac:dyDescent="0.25">
      <c r="B25" s="323"/>
      <c r="C25" s="324"/>
      <c r="D25" s="302" t="s">
        <v>450</v>
      </c>
      <c r="E25" s="271">
        <f>SUM(E29,E40,E44,E49,E53)</f>
        <v>244.0259373333333</v>
      </c>
      <c r="F25" s="48"/>
      <c r="I25" s="49"/>
      <c r="J25" s="49"/>
      <c r="K25" s="49"/>
      <c r="L25" s="49"/>
    </row>
    <row r="26" spans="2:12" x14ac:dyDescent="0.25">
      <c r="B26" s="322" t="s">
        <v>370</v>
      </c>
      <c r="C26" s="569" t="s">
        <v>266</v>
      </c>
      <c r="D26" s="570"/>
      <c r="E26" s="571"/>
      <c r="F26" s="76"/>
      <c r="I26" s="49"/>
      <c r="J26" s="49"/>
      <c r="K26" s="49"/>
      <c r="L26" s="49"/>
    </row>
    <row r="27" spans="2:12" x14ac:dyDescent="0.25">
      <c r="B27" s="328"/>
      <c r="C27" s="335" t="s">
        <v>368</v>
      </c>
      <c r="D27" s="273" t="s">
        <v>253</v>
      </c>
      <c r="E27" s="329"/>
      <c r="F27" s="76"/>
      <c r="I27" s="49"/>
      <c r="J27" s="49"/>
      <c r="K27" s="49"/>
      <c r="L27" s="49"/>
    </row>
    <row r="28" spans="2:12" x14ac:dyDescent="0.25">
      <c r="B28" s="272"/>
      <c r="C28" s="330"/>
      <c r="D28" s="357" t="s">
        <v>386</v>
      </c>
      <c r="E28" s="310">
        <f>SUM(E29,E40)</f>
        <v>89.97999999999999</v>
      </c>
      <c r="F28" s="76"/>
      <c r="I28" s="49"/>
      <c r="J28" s="49"/>
      <c r="K28" s="49"/>
      <c r="L28" s="49"/>
    </row>
    <row r="29" spans="2:12" x14ac:dyDescent="0.25">
      <c r="B29" s="272"/>
      <c r="C29" s="330"/>
      <c r="D29" s="357" t="s">
        <v>410</v>
      </c>
      <c r="E29" s="310">
        <f>SUM(E30:E38)</f>
        <v>87.929999999999993</v>
      </c>
      <c r="F29" s="48"/>
      <c r="G29" s="76"/>
      <c r="H29" s="75"/>
      <c r="I29" s="49"/>
      <c r="J29" s="49"/>
      <c r="K29" s="49"/>
      <c r="L29" s="306"/>
    </row>
    <row r="30" spans="2:12" x14ac:dyDescent="0.25">
      <c r="B30" s="274" t="s">
        <v>316</v>
      </c>
      <c r="C30" s="274">
        <v>12</v>
      </c>
      <c r="D30" s="275">
        <v>0.68</v>
      </c>
      <c r="E30" s="307">
        <f t="shared" ref="E30:E38" si="1">D30*C30</f>
        <v>8.16</v>
      </c>
      <c r="F30" s="48"/>
      <c r="G30" s="49"/>
      <c r="H30" s="75"/>
      <c r="I30" s="49"/>
      <c r="J30" s="49"/>
      <c r="K30" s="49"/>
      <c r="L30" s="49"/>
    </row>
    <row r="31" spans="2:12" x14ac:dyDescent="0.25">
      <c r="B31" s="274" t="s">
        <v>319</v>
      </c>
      <c r="C31" s="274">
        <v>12</v>
      </c>
      <c r="D31" s="275">
        <v>0.68</v>
      </c>
      <c r="E31" s="307">
        <f t="shared" si="1"/>
        <v>8.16</v>
      </c>
      <c r="F31" s="48"/>
      <c r="G31" s="77"/>
      <c r="H31" s="75"/>
      <c r="I31" s="49"/>
      <c r="J31" s="49"/>
      <c r="K31" s="49"/>
      <c r="L31" s="49"/>
    </row>
    <row r="32" spans="2:12" x14ac:dyDescent="0.25">
      <c r="B32" s="274" t="s">
        <v>315</v>
      </c>
      <c r="C32" s="274">
        <v>15</v>
      </c>
      <c r="D32" s="275">
        <v>0.61</v>
      </c>
      <c r="E32" s="307">
        <f t="shared" si="1"/>
        <v>9.15</v>
      </c>
      <c r="F32" s="48"/>
      <c r="G32" s="244"/>
      <c r="H32" s="75"/>
      <c r="I32" s="49"/>
      <c r="J32" s="49"/>
      <c r="K32" s="49"/>
      <c r="L32" s="49"/>
    </row>
    <row r="33" spans="2:12" x14ac:dyDescent="0.25">
      <c r="B33" s="274" t="s">
        <v>312</v>
      </c>
      <c r="C33" s="274">
        <v>12</v>
      </c>
      <c r="D33" s="275">
        <v>0.74</v>
      </c>
      <c r="E33" s="307">
        <f t="shared" si="1"/>
        <v>8.879999999999999</v>
      </c>
      <c r="F33" s="48"/>
      <c r="G33" s="49"/>
      <c r="H33" s="75"/>
      <c r="I33" s="49"/>
      <c r="J33" s="49"/>
      <c r="K33" s="49"/>
      <c r="L33" s="49"/>
    </row>
    <row r="34" spans="2:12" x14ac:dyDescent="0.25">
      <c r="B34" s="274" t="s">
        <v>313</v>
      </c>
      <c r="C34" s="274">
        <v>12</v>
      </c>
      <c r="D34" s="275">
        <v>0.88</v>
      </c>
      <c r="E34" s="307">
        <f t="shared" si="1"/>
        <v>10.56</v>
      </c>
      <c r="F34" s="48"/>
      <c r="G34" s="77"/>
      <c r="H34" s="75"/>
      <c r="I34" s="49"/>
      <c r="J34" s="49"/>
      <c r="K34" s="49"/>
      <c r="L34" s="49"/>
    </row>
    <row r="35" spans="2:12" x14ac:dyDescent="0.25">
      <c r="B35" s="274" t="s">
        <v>314</v>
      </c>
      <c r="C35" s="274">
        <v>24</v>
      </c>
      <c r="D35" s="275">
        <v>0.39</v>
      </c>
      <c r="E35" s="307">
        <f t="shared" si="1"/>
        <v>9.36</v>
      </c>
      <c r="F35" s="48"/>
      <c r="G35" s="244"/>
      <c r="H35" s="75"/>
      <c r="I35" s="49"/>
      <c r="J35" s="49"/>
      <c r="K35" s="49"/>
      <c r="L35" s="49"/>
    </row>
    <row r="36" spans="2:12" x14ac:dyDescent="0.25">
      <c r="B36" s="274" t="s">
        <v>317</v>
      </c>
      <c r="C36" s="274">
        <v>10</v>
      </c>
      <c r="D36" s="275">
        <v>1.05</v>
      </c>
      <c r="E36" s="307">
        <f t="shared" si="1"/>
        <v>10.5</v>
      </c>
      <c r="F36" s="48"/>
      <c r="G36" s="48"/>
      <c r="H36" s="75"/>
      <c r="I36" s="49"/>
      <c r="J36" s="49"/>
      <c r="K36" s="49"/>
      <c r="L36" s="49"/>
    </row>
    <row r="37" spans="2:12" x14ac:dyDescent="0.25">
      <c r="B37" s="274" t="s">
        <v>318</v>
      </c>
      <c r="C37" s="274">
        <v>12</v>
      </c>
      <c r="D37" s="275">
        <v>0.68</v>
      </c>
      <c r="E37" s="307">
        <f t="shared" si="1"/>
        <v>8.16</v>
      </c>
      <c r="F37" s="48"/>
      <c r="G37" s="76"/>
      <c r="H37" s="75"/>
      <c r="I37" s="49"/>
      <c r="J37" s="49"/>
      <c r="K37" s="49"/>
      <c r="L37" s="49"/>
    </row>
    <row r="38" spans="2:12" x14ac:dyDescent="0.25">
      <c r="B38" s="276" t="s">
        <v>22</v>
      </c>
      <c r="C38" s="276">
        <v>5</v>
      </c>
      <c r="D38" s="277">
        <v>3</v>
      </c>
      <c r="E38" s="308">
        <f t="shared" si="1"/>
        <v>15</v>
      </c>
      <c r="F38" s="48"/>
      <c r="G38" s="281"/>
      <c r="H38" s="75"/>
      <c r="I38" s="49"/>
      <c r="J38" s="49"/>
      <c r="K38" s="49"/>
      <c r="L38" s="49"/>
    </row>
    <row r="39" spans="2:12" x14ac:dyDescent="0.25">
      <c r="B39" s="278"/>
      <c r="C39" s="279"/>
      <c r="D39" s="280"/>
      <c r="E39" s="309"/>
      <c r="F39" s="48"/>
      <c r="G39" s="48"/>
      <c r="H39" s="75"/>
      <c r="I39" s="49"/>
      <c r="J39" s="49"/>
      <c r="K39" s="49"/>
      <c r="L39" s="49"/>
    </row>
    <row r="40" spans="2:12" x14ac:dyDescent="0.25">
      <c r="B40" s="272" t="s">
        <v>346</v>
      </c>
      <c r="C40" s="330"/>
      <c r="D40" s="331"/>
      <c r="E40" s="310">
        <f>SUM(E41:E42)</f>
        <v>2.0499999999999998</v>
      </c>
      <c r="F40" s="48"/>
      <c r="G40" s="48"/>
      <c r="H40" s="75"/>
      <c r="I40" s="49"/>
      <c r="J40" s="49"/>
      <c r="K40" s="49"/>
      <c r="L40" s="49"/>
    </row>
    <row r="41" spans="2:12" x14ac:dyDescent="0.25">
      <c r="B41" s="282" t="s">
        <v>26</v>
      </c>
      <c r="C41" s="274">
        <v>0.1</v>
      </c>
      <c r="D41" s="275">
        <v>0.5</v>
      </c>
      <c r="E41" s="307">
        <f t="shared" ref="E41:E42" si="2">D41*C41</f>
        <v>0.05</v>
      </c>
      <c r="F41" s="48"/>
      <c r="G41" s="48"/>
      <c r="H41" s="75"/>
      <c r="I41" s="49"/>
      <c r="J41" s="49"/>
      <c r="K41" s="49"/>
      <c r="L41" s="49"/>
    </row>
    <row r="42" spans="2:12" x14ac:dyDescent="0.25">
      <c r="B42" s="283" t="s">
        <v>321</v>
      </c>
      <c r="C42" s="276">
        <v>1</v>
      </c>
      <c r="D42" s="277">
        <v>2</v>
      </c>
      <c r="E42" s="308">
        <f t="shared" si="2"/>
        <v>2</v>
      </c>
      <c r="F42" s="48"/>
      <c r="G42" s="76"/>
      <c r="H42" s="75"/>
      <c r="I42" s="49"/>
      <c r="J42" s="49"/>
      <c r="K42" s="49"/>
      <c r="L42" s="49"/>
    </row>
    <row r="43" spans="2:12" x14ac:dyDescent="0.25">
      <c r="B43" s="278"/>
      <c r="C43" s="284"/>
      <c r="D43" s="280"/>
      <c r="E43" s="309"/>
      <c r="F43" s="48"/>
      <c r="G43" s="48"/>
      <c r="H43" s="75"/>
      <c r="I43" s="49"/>
      <c r="J43" s="49"/>
      <c r="K43" s="49"/>
      <c r="L43" s="49"/>
    </row>
    <row r="44" spans="2:12" x14ac:dyDescent="0.25">
      <c r="B44" s="272" t="s">
        <v>310</v>
      </c>
      <c r="C44" s="332"/>
      <c r="D44" s="333"/>
      <c r="E44" s="310">
        <f>SUM(E45:E46)</f>
        <v>9.2126040000000007</v>
      </c>
      <c r="F44" s="48"/>
      <c r="G44" s="48"/>
      <c r="H44" s="75"/>
      <c r="I44" s="49"/>
      <c r="J44" s="49"/>
      <c r="K44" s="49"/>
      <c r="L44" s="49"/>
    </row>
    <row r="45" spans="2:12" x14ac:dyDescent="0.25">
      <c r="B45" s="282" t="s">
        <v>330</v>
      </c>
      <c r="C45" s="285">
        <f>D17</f>
        <v>40.0548</v>
      </c>
      <c r="D45" s="275">
        <v>0.1</v>
      </c>
      <c r="E45" s="307">
        <f>D45*C45</f>
        <v>4.0054800000000004</v>
      </c>
      <c r="F45" s="48"/>
      <c r="G45" s="76"/>
      <c r="H45" s="75"/>
      <c r="I45" s="49"/>
      <c r="J45" s="49"/>
      <c r="K45" s="49"/>
      <c r="L45" s="49"/>
    </row>
    <row r="46" spans="2:12" x14ac:dyDescent="0.25">
      <c r="B46" s="283" t="s">
        <v>329</v>
      </c>
      <c r="C46" s="286">
        <f>D17</f>
        <v>40.0548</v>
      </c>
      <c r="D46" s="277">
        <v>0.13</v>
      </c>
      <c r="E46" s="308">
        <f>D46*C46</f>
        <v>5.2071240000000003</v>
      </c>
      <c r="F46" s="48"/>
      <c r="G46" s="48"/>
      <c r="H46" s="75"/>
      <c r="I46" s="49"/>
      <c r="J46" s="49"/>
      <c r="K46" s="49"/>
      <c r="L46" s="49"/>
    </row>
    <row r="47" spans="2:12" x14ac:dyDescent="0.25">
      <c r="B47" s="278"/>
      <c r="C47" s="284"/>
      <c r="D47" s="280"/>
      <c r="E47" s="309"/>
      <c r="F47" s="48"/>
      <c r="G47" s="48"/>
      <c r="H47" s="75"/>
      <c r="I47" s="49"/>
      <c r="J47" s="49"/>
      <c r="K47" s="49"/>
      <c r="L47" s="49"/>
    </row>
    <row r="48" spans="2:12" x14ac:dyDescent="0.25">
      <c r="B48" s="278"/>
      <c r="C48" s="284"/>
      <c r="D48" s="287" t="s">
        <v>320</v>
      </c>
      <c r="E48" s="311" t="s">
        <v>369</v>
      </c>
      <c r="F48" s="48"/>
      <c r="G48" s="76"/>
      <c r="H48" s="75"/>
      <c r="I48" s="49"/>
      <c r="J48" s="49"/>
      <c r="K48" s="49"/>
      <c r="L48" s="49"/>
    </row>
    <row r="49" spans="2:12" x14ac:dyDescent="0.25">
      <c r="B49" s="272" t="s">
        <v>333</v>
      </c>
      <c r="C49" s="332"/>
      <c r="D49" s="288">
        <f>SUM(D50:D51)</f>
        <v>60.833333333333329</v>
      </c>
      <c r="E49" s="310">
        <f>SUM(E50:E51)</f>
        <v>78.166666666666671</v>
      </c>
      <c r="F49" s="48"/>
      <c r="G49" s="76"/>
      <c r="H49" s="75"/>
      <c r="I49" s="49"/>
      <c r="J49" s="49"/>
      <c r="K49" s="49"/>
      <c r="L49" s="49"/>
    </row>
    <row r="50" spans="2:12" x14ac:dyDescent="0.25">
      <c r="B50" s="282" t="s">
        <v>334</v>
      </c>
      <c r="C50" s="274">
        <f>3.75</f>
        <v>3.75</v>
      </c>
      <c r="D50" s="289">
        <f>$D$10*C50</f>
        <v>52.5</v>
      </c>
      <c r="E50" s="307">
        <f>$D$8*C50</f>
        <v>67.5</v>
      </c>
      <c r="F50" s="48"/>
      <c r="G50" s="48"/>
      <c r="H50" s="75"/>
      <c r="I50" s="49"/>
      <c r="J50" s="49"/>
      <c r="K50" s="49"/>
      <c r="L50" s="49"/>
    </row>
    <row r="51" spans="2:12" x14ac:dyDescent="0.25">
      <c r="B51" s="283" t="s">
        <v>335</v>
      </c>
      <c r="C51" s="290">
        <f>0.25*8/6</f>
        <v>0.33333333333333331</v>
      </c>
      <c r="D51" s="291">
        <f>$D$11*C51</f>
        <v>8.3333333333333321</v>
      </c>
      <c r="E51" s="308">
        <f>$D$9*C51</f>
        <v>10.666666666666666</v>
      </c>
      <c r="F51" s="48"/>
      <c r="G51" s="48"/>
      <c r="H51" s="75"/>
      <c r="I51" s="49"/>
      <c r="J51" s="49"/>
      <c r="K51" s="49"/>
      <c r="L51" s="49"/>
    </row>
    <row r="52" spans="2:12" x14ac:dyDescent="0.25">
      <c r="B52" s="278"/>
      <c r="C52" s="292"/>
      <c r="D52" s="280"/>
      <c r="E52" s="309"/>
      <c r="F52" s="48"/>
      <c r="G52" s="48"/>
      <c r="H52" s="75"/>
      <c r="I52" s="49"/>
      <c r="J52" s="49"/>
      <c r="K52" s="49"/>
      <c r="L52" s="49"/>
    </row>
    <row r="53" spans="2:12" x14ac:dyDescent="0.25">
      <c r="B53" s="272" t="s">
        <v>362</v>
      </c>
      <c r="C53" s="334"/>
      <c r="D53" s="288">
        <f>SUM(D54:D59)</f>
        <v>49.999999999999993</v>
      </c>
      <c r="E53" s="310">
        <f>SUM(E54:E59)</f>
        <v>66.666666666666657</v>
      </c>
      <c r="F53" s="48"/>
      <c r="G53" s="48"/>
      <c r="H53" s="75"/>
      <c r="I53" s="49"/>
      <c r="J53" s="49"/>
      <c r="K53" s="49"/>
      <c r="L53" s="49"/>
    </row>
    <row r="54" spans="2:12" x14ac:dyDescent="0.25">
      <c r="B54" s="274" t="s">
        <v>322</v>
      </c>
      <c r="C54" s="293">
        <f>1*8/6</f>
        <v>1.3333333333333333</v>
      </c>
      <c r="D54" s="289">
        <f>$D$6*C54*$D$7</f>
        <v>24.999999999999996</v>
      </c>
      <c r="E54" s="307">
        <f>$D$6*C54</f>
        <v>33.333333333333329</v>
      </c>
      <c r="F54" s="48"/>
      <c r="G54" s="48"/>
      <c r="H54" s="75"/>
      <c r="I54" s="49"/>
      <c r="J54" s="49"/>
      <c r="K54" s="49"/>
      <c r="L54" s="49"/>
    </row>
    <row r="55" spans="2:12" x14ac:dyDescent="0.25">
      <c r="B55" s="274" t="s">
        <v>324</v>
      </c>
      <c r="C55" s="293"/>
      <c r="D55" s="275"/>
      <c r="E55" s="239"/>
      <c r="F55" s="48"/>
      <c r="G55" s="48"/>
      <c r="H55" s="75"/>
      <c r="I55" s="49"/>
      <c r="J55" s="49"/>
      <c r="K55" s="49"/>
      <c r="L55" s="49"/>
    </row>
    <row r="56" spans="2:12" x14ac:dyDescent="0.25">
      <c r="B56" s="274" t="s">
        <v>325</v>
      </c>
      <c r="C56" s="293"/>
      <c r="D56" s="275"/>
      <c r="E56" s="239"/>
      <c r="F56" s="48"/>
      <c r="G56" s="48"/>
      <c r="H56" s="75"/>
      <c r="I56" s="49"/>
      <c r="J56" s="49"/>
      <c r="K56" s="49"/>
      <c r="L56" s="49"/>
    </row>
    <row r="57" spans="2:12" x14ac:dyDescent="0.25">
      <c r="B57" s="274" t="s">
        <v>326</v>
      </c>
      <c r="C57" s="293"/>
      <c r="D57" s="275"/>
      <c r="E57" s="239"/>
      <c r="F57" s="48"/>
      <c r="G57" s="48"/>
      <c r="H57" s="75"/>
      <c r="I57" s="49"/>
      <c r="J57" s="49"/>
      <c r="K57" s="49"/>
      <c r="L57" s="49"/>
    </row>
    <row r="58" spans="2:12" x14ac:dyDescent="0.25">
      <c r="B58" s="274" t="s">
        <v>327</v>
      </c>
      <c r="C58" s="293"/>
      <c r="D58" s="275"/>
      <c r="E58" s="239"/>
      <c r="F58" s="48"/>
      <c r="G58" s="48"/>
      <c r="H58" s="75"/>
      <c r="I58" s="49"/>
      <c r="J58" s="49"/>
      <c r="K58" s="49"/>
      <c r="L58" s="49"/>
    </row>
    <row r="59" spans="2:12" x14ac:dyDescent="0.25">
      <c r="B59" s="276" t="s">
        <v>328</v>
      </c>
      <c r="C59" s="290">
        <f>1*8/6</f>
        <v>1.3333333333333333</v>
      </c>
      <c r="D59" s="289">
        <f>$D$6*C59*$D$7</f>
        <v>24.999999999999996</v>
      </c>
      <c r="E59" s="307">
        <f>$D$6*C59</f>
        <v>33.333333333333329</v>
      </c>
      <c r="F59" s="336"/>
      <c r="G59" s="48"/>
      <c r="H59" s="75"/>
      <c r="I59" s="49"/>
      <c r="J59" s="49"/>
      <c r="K59" s="49"/>
      <c r="L59" s="49"/>
    </row>
    <row r="60" spans="2:12" x14ac:dyDescent="0.25">
      <c r="F60" s="280"/>
      <c r="G60" s="48"/>
      <c r="H60" s="48"/>
      <c r="I60" s="75"/>
      <c r="J60" s="49"/>
      <c r="K60" s="49"/>
      <c r="L60" s="49"/>
    </row>
    <row r="61" spans="2:12" x14ac:dyDescent="0.25">
      <c r="F61" s="280"/>
      <c r="L61" s="49"/>
    </row>
  </sheetData>
  <mergeCells count="5">
    <mergeCell ref="B5:E5"/>
    <mergeCell ref="B2:K2"/>
    <mergeCell ref="C3:K3"/>
    <mergeCell ref="G5:K5"/>
    <mergeCell ref="C26:E26"/>
  </mergeCells>
  <hyperlinks>
    <hyperlink ref="C19" r:id="rId1"/>
    <hyperlink ref="C20" r:id="rId2"/>
  </hyperlinks>
  <pageMargins left="0.45" right="0.2" top="0.75" bottom="0.75" header="0.3" footer="0.3"/>
  <pageSetup orientation="portrait" r:id="rId3"/>
  <drawing r:id="rId4"/>
  <legacy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workbookViewId="0">
      <selection activeCell="J37" sqref="J37"/>
    </sheetView>
  </sheetViews>
  <sheetFormatPr defaultRowHeight="14.5" x14ac:dyDescent="0.35"/>
  <cols>
    <col min="1" max="1" width="3.36328125" customWidth="1"/>
    <col min="2" max="2" width="17.7265625" customWidth="1"/>
    <col min="5" max="5" width="12.453125" bestFit="1" customWidth="1"/>
    <col min="6" max="6" width="7.54296875" bestFit="1" customWidth="1"/>
    <col min="7" max="7" width="10.54296875" bestFit="1" customWidth="1"/>
  </cols>
  <sheetData>
    <row r="1" spans="2:9" ht="20.25" customHeight="1" x14ac:dyDescent="0.35">
      <c r="B1" s="595" t="s">
        <v>0</v>
      </c>
      <c r="C1" s="596"/>
      <c r="D1" s="596"/>
      <c r="E1" s="596"/>
      <c r="F1" s="596"/>
      <c r="G1" s="597"/>
    </row>
    <row r="2" spans="2:9" x14ac:dyDescent="0.35">
      <c r="B2" s="1" t="s">
        <v>1</v>
      </c>
      <c r="C2" s="354">
        <v>6</v>
      </c>
      <c r="D2" s="3"/>
      <c r="E2" s="598" t="s">
        <v>2</v>
      </c>
      <c r="F2" s="599"/>
      <c r="G2" s="4">
        <v>10</v>
      </c>
    </row>
    <row r="3" spans="2:9" x14ac:dyDescent="0.35">
      <c r="B3" s="1"/>
      <c r="C3" s="5"/>
      <c r="D3" s="3"/>
      <c r="E3" s="600" t="s">
        <v>3</v>
      </c>
      <c r="F3" s="601"/>
      <c r="G3" s="6">
        <v>6</v>
      </c>
    </row>
    <row r="4" spans="2:9" x14ac:dyDescent="0.35">
      <c r="B4" s="7" t="s">
        <v>4</v>
      </c>
      <c r="C4" s="8">
        <v>6</v>
      </c>
      <c r="D4" s="3"/>
      <c r="E4" s="3"/>
      <c r="F4" s="3"/>
      <c r="G4" s="9"/>
    </row>
    <row r="5" spans="2:9" x14ac:dyDescent="0.35">
      <c r="B5" s="10" t="s">
        <v>5</v>
      </c>
      <c r="C5" s="11">
        <f>C2-C4</f>
        <v>0</v>
      </c>
      <c r="D5" s="3"/>
      <c r="E5" s="598" t="s">
        <v>6</v>
      </c>
      <c r="F5" s="599"/>
      <c r="G5" s="4">
        <f>(C4*C7*G2)+(C5*C8*G3)</f>
        <v>420</v>
      </c>
    </row>
    <row r="6" spans="2:9" x14ac:dyDescent="0.35">
      <c r="B6" s="12"/>
      <c r="C6" s="5"/>
      <c r="D6" s="3"/>
      <c r="E6" s="600" t="s">
        <v>7</v>
      </c>
      <c r="F6" s="601"/>
      <c r="G6" s="6">
        <f>(C4*C7*G22)+(C5*C8*H22)</f>
        <v>340.38750000000005</v>
      </c>
    </row>
    <row r="7" spans="2:9" x14ac:dyDescent="0.35">
      <c r="B7" s="7" t="s">
        <v>8</v>
      </c>
      <c r="C7" s="8">
        <v>7</v>
      </c>
      <c r="D7" s="13"/>
      <c r="E7" s="593" t="s">
        <v>9</v>
      </c>
      <c r="F7" s="594"/>
      <c r="G7" s="14">
        <f>G5-G6</f>
        <v>79.612499999999955</v>
      </c>
    </row>
    <row r="8" spans="2:9" x14ac:dyDescent="0.35">
      <c r="B8" s="10" t="s">
        <v>10</v>
      </c>
      <c r="C8" s="11">
        <v>7</v>
      </c>
      <c r="D8" s="13"/>
      <c r="E8" s="582" t="s">
        <v>11</v>
      </c>
      <c r="F8" s="583"/>
      <c r="G8" s="15">
        <f>(C4*C7*G19)+(C5*C8*H19)</f>
        <v>90</v>
      </c>
    </row>
    <row r="9" spans="2:9" x14ac:dyDescent="0.35">
      <c r="B9" s="352"/>
      <c r="C9" s="353"/>
      <c r="D9" s="13"/>
      <c r="E9" s="584" t="s">
        <v>12</v>
      </c>
      <c r="F9" s="585"/>
      <c r="G9" s="18">
        <f>SUM(G7:G8)</f>
        <v>169.61249999999995</v>
      </c>
    </row>
    <row r="10" spans="2:9" x14ac:dyDescent="0.35">
      <c r="B10" s="16"/>
      <c r="C10" s="19"/>
      <c r="D10" s="19"/>
      <c r="E10" s="19"/>
      <c r="F10" s="19"/>
      <c r="G10" s="20"/>
    </row>
    <row r="11" spans="2:9" x14ac:dyDescent="0.35">
      <c r="B11" s="21" t="s">
        <v>13</v>
      </c>
      <c r="C11" s="22" t="s">
        <v>14</v>
      </c>
      <c r="D11" s="22" t="s">
        <v>15</v>
      </c>
      <c r="E11" s="23" t="s">
        <v>16</v>
      </c>
      <c r="F11" s="24" t="s">
        <v>15</v>
      </c>
      <c r="G11" s="25" t="s">
        <v>17</v>
      </c>
      <c r="H11" s="25" t="s">
        <v>18</v>
      </c>
    </row>
    <row r="12" spans="2:9" x14ac:dyDescent="0.35">
      <c r="B12" s="26" t="s">
        <v>19</v>
      </c>
      <c r="C12" s="27">
        <v>2</v>
      </c>
      <c r="D12" s="27" t="s">
        <v>20</v>
      </c>
      <c r="E12" s="28">
        <v>0.5</v>
      </c>
      <c r="F12" s="29" t="s">
        <v>21</v>
      </c>
      <c r="G12" s="30">
        <f t="shared" ref="G12:G21" si="0">C12*E12</f>
        <v>1</v>
      </c>
      <c r="H12" s="30">
        <f>C12*E12/2</f>
        <v>0.5</v>
      </c>
    </row>
    <row r="13" spans="2:9" x14ac:dyDescent="0.35">
      <c r="B13" s="26" t="s">
        <v>22</v>
      </c>
      <c r="C13" s="27">
        <v>1</v>
      </c>
      <c r="D13" s="27" t="s">
        <v>23</v>
      </c>
      <c r="E13" s="28">
        <v>1</v>
      </c>
      <c r="F13" s="29" t="s">
        <v>21</v>
      </c>
      <c r="G13" s="30">
        <f t="shared" si="0"/>
        <v>1</v>
      </c>
      <c r="H13" s="30">
        <f t="shared" ref="H13:H16" si="1">C13*E13/2</f>
        <v>0.5</v>
      </c>
    </row>
    <row r="14" spans="2:9" x14ac:dyDescent="0.35">
      <c r="B14" s="26" t="s">
        <v>24</v>
      </c>
      <c r="C14" s="27">
        <v>4</v>
      </c>
      <c r="D14" s="27" t="s">
        <v>25</v>
      </c>
      <c r="E14" s="28">
        <f>1/8</f>
        <v>0.125</v>
      </c>
      <c r="F14" s="29" t="s">
        <v>21</v>
      </c>
      <c r="G14" s="30">
        <f t="shared" si="0"/>
        <v>0.5</v>
      </c>
      <c r="H14" s="30">
        <f t="shared" si="1"/>
        <v>0.25</v>
      </c>
      <c r="I14" s="31"/>
    </row>
    <row r="15" spans="2:9" x14ac:dyDescent="0.35">
      <c r="B15" s="26" t="s">
        <v>26</v>
      </c>
      <c r="C15" s="27">
        <v>0.1</v>
      </c>
      <c r="D15" s="27" t="s">
        <v>23</v>
      </c>
      <c r="E15" s="28">
        <v>1</v>
      </c>
      <c r="F15" s="29" t="s">
        <v>21</v>
      </c>
      <c r="G15" s="30">
        <f t="shared" si="0"/>
        <v>0.1</v>
      </c>
      <c r="H15" s="30">
        <f t="shared" si="1"/>
        <v>0.05</v>
      </c>
    </row>
    <row r="16" spans="2:9" x14ac:dyDescent="0.35">
      <c r="B16" s="32" t="s">
        <v>27</v>
      </c>
      <c r="C16" s="27">
        <f>7/8</f>
        <v>0.875</v>
      </c>
      <c r="D16" s="33" t="s">
        <v>20</v>
      </c>
      <c r="E16" s="34">
        <v>0.25</v>
      </c>
      <c r="F16" s="35" t="s">
        <v>28</v>
      </c>
      <c r="G16" s="30">
        <f>C16*E16</f>
        <v>0.21875</v>
      </c>
      <c r="H16" s="30">
        <f t="shared" si="1"/>
        <v>0.109375</v>
      </c>
    </row>
    <row r="17" spans="2:8" x14ac:dyDescent="0.35">
      <c r="B17" s="32"/>
      <c r="E17" s="34"/>
      <c r="F17" s="35"/>
      <c r="G17" s="30"/>
      <c r="H17" s="30"/>
    </row>
    <row r="18" spans="2:8" x14ac:dyDescent="0.35">
      <c r="B18" s="26" t="s">
        <v>29</v>
      </c>
      <c r="C18" s="27">
        <v>1</v>
      </c>
      <c r="D18" s="27" t="s">
        <v>23</v>
      </c>
      <c r="E18" s="36">
        <v>1</v>
      </c>
      <c r="F18" s="37" t="s">
        <v>30</v>
      </c>
      <c r="G18" s="30">
        <f>C18*E18</f>
        <v>1</v>
      </c>
      <c r="H18" s="30">
        <v>0.8</v>
      </c>
    </row>
    <row r="19" spans="2:8" x14ac:dyDescent="0.35">
      <c r="B19" s="10" t="s">
        <v>31</v>
      </c>
      <c r="C19" s="38">
        <v>10</v>
      </c>
      <c r="D19" s="38" t="s">
        <v>32</v>
      </c>
      <c r="E19" s="39">
        <f>1.5/7</f>
        <v>0.21428571428571427</v>
      </c>
      <c r="F19" s="40" t="s">
        <v>33</v>
      </c>
      <c r="G19" s="15">
        <f t="shared" ref="G19" si="2">C19*E19</f>
        <v>2.1428571428571428</v>
      </c>
      <c r="H19" s="15">
        <f>E19*0.9*C19</f>
        <v>1.9285714285714284</v>
      </c>
    </row>
    <row r="20" spans="2:8" x14ac:dyDescent="0.35">
      <c r="B20" s="10"/>
      <c r="C20" s="38"/>
      <c r="D20" s="38"/>
      <c r="E20" s="39"/>
      <c r="F20" s="40"/>
      <c r="G20" s="15"/>
      <c r="H20" s="15"/>
    </row>
    <row r="21" spans="2:8" x14ac:dyDescent="0.35">
      <c r="B21" s="10" t="s">
        <v>34</v>
      </c>
      <c r="C21" s="38">
        <v>10</v>
      </c>
      <c r="D21" s="38" t="s">
        <v>32</v>
      </c>
      <c r="E21" s="39">
        <f>(1.5/7)</f>
        <v>0.21428571428571427</v>
      </c>
      <c r="F21" s="40" t="s">
        <v>33</v>
      </c>
      <c r="G21" s="15">
        <f t="shared" si="0"/>
        <v>2.1428571428571428</v>
      </c>
      <c r="H21" s="15">
        <f>E21*0.9*C21</f>
        <v>1.9285714285714284</v>
      </c>
    </row>
    <row r="22" spans="2:8" x14ac:dyDescent="0.35">
      <c r="E22" s="586" t="s">
        <v>35</v>
      </c>
      <c r="F22" s="587"/>
      <c r="G22" s="18">
        <f>SUM(G12:G21)</f>
        <v>8.1044642857142861</v>
      </c>
      <c r="H22" s="18">
        <f>SUM(H12:H21)</f>
        <v>6.0665178571428573</v>
      </c>
    </row>
    <row r="24" spans="2:8" x14ac:dyDescent="0.35">
      <c r="B24" t="s">
        <v>36</v>
      </c>
    </row>
    <row r="26" spans="2:8" x14ac:dyDescent="0.35">
      <c r="B26" t="s">
        <v>37</v>
      </c>
    </row>
    <row r="27" spans="2:8" x14ac:dyDescent="0.35">
      <c r="B27" t="s">
        <v>38</v>
      </c>
    </row>
    <row r="28" spans="2:8" x14ac:dyDescent="0.35">
      <c r="B28" t="s">
        <v>39</v>
      </c>
    </row>
    <row r="30" spans="2:8" x14ac:dyDescent="0.35">
      <c r="B30" s="588" t="s">
        <v>40</v>
      </c>
      <c r="C30" s="589"/>
      <c r="D30" s="589"/>
      <c r="E30" s="589"/>
      <c r="F30" s="589"/>
      <c r="G30" s="589"/>
      <c r="H30" s="589"/>
    </row>
    <row r="31" spans="2:8" x14ac:dyDescent="0.35">
      <c r="B31" s="590" t="s">
        <v>41</v>
      </c>
      <c r="C31" s="591"/>
      <c r="D31" s="591"/>
      <c r="E31" s="591"/>
      <c r="F31" s="41">
        <v>55</v>
      </c>
      <c r="G31" s="591" t="s">
        <v>42</v>
      </c>
      <c r="H31" s="592"/>
    </row>
    <row r="32" spans="2:8" x14ac:dyDescent="0.35">
      <c r="B32" s="576" t="s">
        <v>43</v>
      </c>
      <c r="C32" s="577"/>
      <c r="D32" s="577"/>
      <c r="E32" s="577"/>
      <c r="F32" s="42">
        <v>50</v>
      </c>
      <c r="G32" s="577" t="s">
        <v>42</v>
      </c>
      <c r="H32" s="578"/>
    </row>
    <row r="33" spans="2:8" x14ac:dyDescent="0.35">
      <c r="B33" s="576" t="s">
        <v>44</v>
      </c>
      <c r="C33" s="577"/>
      <c r="D33" s="577"/>
      <c r="E33" s="577"/>
      <c r="F33" s="42">
        <v>400</v>
      </c>
      <c r="G33" s="577" t="s">
        <v>45</v>
      </c>
      <c r="H33" s="578"/>
    </row>
    <row r="34" spans="2:8" x14ac:dyDescent="0.35">
      <c r="B34" s="579" t="s">
        <v>46</v>
      </c>
      <c r="C34" s="580"/>
      <c r="D34" s="580"/>
      <c r="E34" s="580"/>
      <c r="F34" s="43">
        <v>75</v>
      </c>
      <c r="G34" s="580" t="s">
        <v>47</v>
      </c>
      <c r="H34" s="581"/>
    </row>
    <row r="35" spans="2:8" x14ac:dyDescent="0.35">
      <c r="F35" s="44">
        <f>SUM(F31:F34)</f>
        <v>580</v>
      </c>
    </row>
  </sheetData>
  <mergeCells count="18">
    <mergeCell ref="E7:F7"/>
    <mergeCell ref="B1:G1"/>
    <mergeCell ref="E2:F2"/>
    <mergeCell ref="E3:F3"/>
    <mergeCell ref="E5:F5"/>
    <mergeCell ref="E6:F6"/>
    <mergeCell ref="E8:F8"/>
    <mergeCell ref="E9:F9"/>
    <mergeCell ref="E22:F22"/>
    <mergeCell ref="B30:H30"/>
    <mergeCell ref="B31:E31"/>
    <mergeCell ref="G31:H31"/>
    <mergeCell ref="B32:E32"/>
    <mergeCell ref="G32:H32"/>
    <mergeCell ref="B33:E33"/>
    <mergeCell ref="G33:H33"/>
    <mergeCell ref="B34:E34"/>
    <mergeCell ref="G34:H3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51"/>
  <sheetViews>
    <sheetView zoomScaleNormal="100" workbookViewId="0">
      <pane xSplit="3" ySplit="1" topLeftCell="H2" activePane="bottomRight" state="frozen"/>
      <selection pane="topRight" activeCell="D1" sqref="D1"/>
      <selection pane="bottomLeft" activeCell="A2" sqref="A2"/>
      <selection pane="bottomRight" activeCell="N5" sqref="N5"/>
    </sheetView>
  </sheetViews>
  <sheetFormatPr defaultRowHeight="10.5" x14ac:dyDescent="0.25"/>
  <cols>
    <col min="1" max="1" width="2.08984375" style="49" customWidth="1"/>
    <col min="2" max="2" width="2.08984375" style="48" bestFit="1" customWidth="1"/>
    <col min="3" max="3" width="30.7265625" style="49" customWidth="1"/>
    <col min="4" max="4" width="51.26953125" style="49" customWidth="1"/>
    <col min="5" max="5" width="7.1796875" style="49" bestFit="1" customWidth="1"/>
    <col min="6" max="6" width="4.36328125" style="49" bestFit="1" customWidth="1"/>
    <col min="7" max="7" width="29" style="49" customWidth="1"/>
    <col min="8" max="8" width="1.7265625" style="49" customWidth="1"/>
    <col min="9" max="9" width="2.08984375" style="49" bestFit="1" customWidth="1"/>
    <col min="10" max="10" width="26.26953125" style="49" customWidth="1"/>
    <col min="11" max="11" width="8.453125" style="49" customWidth="1"/>
    <col min="12" max="12" width="5" style="49" customWidth="1"/>
    <col min="13" max="13" width="24.08984375" style="49" customWidth="1"/>
    <col min="14" max="14" width="7.90625" style="49" bestFit="1" customWidth="1"/>
    <col min="15" max="15" width="20.08984375" style="49" customWidth="1"/>
    <col min="16" max="20" width="2.453125" style="49" bestFit="1" customWidth="1"/>
    <col min="21" max="21" width="4.08984375" style="49" bestFit="1" customWidth="1"/>
    <col min="22" max="22" width="9.6328125" style="49" bestFit="1" customWidth="1"/>
    <col min="23" max="23" width="4.6328125" style="49" bestFit="1" customWidth="1"/>
    <col min="24" max="24" width="3" style="49" bestFit="1" customWidth="1"/>
    <col min="25" max="25" width="2.08984375" style="49" bestFit="1" customWidth="1"/>
    <col min="26" max="16384" width="8.7265625" style="49"/>
  </cols>
  <sheetData>
    <row r="1" spans="2:25" ht="13" x14ac:dyDescent="0.3">
      <c r="C1" s="603" t="s">
        <v>243</v>
      </c>
      <c r="D1" s="603"/>
      <c r="M1" s="75"/>
      <c r="P1" s="602" t="s">
        <v>238</v>
      </c>
      <c r="Q1" s="602"/>
      <c r="R1" s="602"/>
      <c r="S1" s="602"/>
      <c r="T1" s="602"/>
    </row>
    <row r="2" spans="2:25" ht="49.5" customHeight="1" x14ac:dyDescent="0.25">
      <c r="P2" s="107">
        <f>IF(P9="X",$N9,0)
+IF(P10="X",$N10,0)
+IF(P11="X",$N11,0)
+IF(P12="X",$N12,0)
+IF(P13="X",$N13,0)
+IF(P14="X",$N14,0)
+IF(P15="X",$N15,0)
+IF(P16="X",$N16,0)
+IF(P17="X",$N17,0)
+IF(P18="X",$N18,0)
+IF(P19="X",$N19,0)
+IF(P20="X",$N20,0)
+IF(P21="X",$N21,0)
+IF(P22="X",$N22,0)
+IF(P23="X",$N23,0)
+IF(P24="X",$N24,0)
+IF(P25="X",$N25,0)
+IF(P26="X",$N26,0)
+IF(P27="X",$N27,0)
+IF(P28="X",$N28,0)
+IF(P29="X",$N29,0)
+IF(P30="X",$N30,0)
+IF(P31="X",$N31,0)
+IF(P32="X",$N32,0)
+IF(P33="X",$N33,0)
+IF(P34="X",$N34,0)
+IF(P35="X",$N35,0)
+IF(P36="X",$N36,0)
+IF(P37="X",$N37,0)
+IF(P38="X",$N38,0)
+IF(P39="X",$N39,0)
+IF(P40="X",$N40,0)
+IF(P41="X",$N41,0)
+IF(P42="X",$N42,0)
+IF(P43="X",$N43,0)
+IF(P44="X",$N44,0)
+IF(P45="X",$N45,0)
+IF(P46="X",$N46,0)
+IF(P47="X",$N47,0)
+IF(P48="X",$N48,0)
+IF(P49="X",$N49,0)
+IF(P50="X",$N50,0)
+IF(P51="X",$N51,0)</f>
        <v>179880</v>
      </c>
      <c r="Q2" s="107">
        <f>IF(Q9="X",$N9,0)
+IF(Q10="X",$N10,0)
+IF(Q11="X",$N11,0)
+IF(Q12="X",$N12,0)
+IF(Q13="X",$N13,0)
+IF(Q14="X",$N14,0)
+IF(Q15="X",$N15,0)
+IF(Q16="X",$N16,0)
+IF(Q17="X",$N17,0)
+IF(Q18="X",$N18,0)
+IF(Q19="X",$N19,0)
+IF(Q20="X",$N20,0)
+IF(Q21="X",$N21,0)
+IF(Q22="X",$N22,0)
+IF(Q23="X",$N23,0)
+IF(Q24="X",$N24,0)
+IF(Q25="X",$N25,0)
+IF(Q26="X",$N26,0)
+IF(Q27="X",$N27,0)
+IF(Q28="X",$N28,0)
+IF(Q29="X",$N29,0)
+IF(Q30="X",$N30,0)
+IF(Q31="X",$N31,0)
+IF(Q32="X",$N32,0)
+IF(Q33="X",$N33,0)
+IF(Q34="X",$N34,0)
+IF(Q35="X",$N35,0)
+IF(Q36="X",$N36,0)
+IF(Q37="X",$N37,0)
+IF(Q38="X",$N38,0)
+IF(Q39="X",$N39,0)
+IF(Q40="X",$N40,0)
+IF(Q41="X",$N41,0)
+IF(Q42="X",$N42,0)
+IF(Q43="X",$N43,0)
+IF(Q44="X",$N44,0)
+IF(Q45="X",$N45,0)
+IF(Q46="X",$N46,0)
+IF(Q47="X",$N47,0)
+IF(Q48="X",$N48,0)
+IF(Q49="X",$N49,0)
+IF(Q50="X",$N50,0)
+IF(Q51="X",$N51,0)</f>
        <v>179880</v>
      </c>
      <c r="R2" s="107">
        <f>IF(R9="X",$N9,0)
+IF(R10="X",$N10,0)
+IF(R11="X",$N11,0)
+IF(R12="X",$N12,0)
+IF(R13="X",$N13,0)
+IF(R14="X",$N14,0)
+IF(R15="X",$N15,0)
+IF(R16="X",$N16,0)
+IF(R17="X",$N17,0)
+IF(R18="X",$N18,0)
+IF(R19="X",$N19,0)
+IF(R20="X",$N20,0)
+IF(R21="X",$N21,0)
+IF(R22="X",$N22,0)
+IF(R23="X",$N23,0)
+IF(R24="X",$N24,0)
+IF(R25="X",$N25,0)
+IF(R26="X",$N26,0)
+IF(R27="X",$N27,0)
+IF(R28="X",$N28,0)
+IF(R29="X",$N29,0)
+IF(R30="X",$N30,0)
+IF(R31="X",$N31,0)
+IF(R32="X",$N32,0)
+IF(R33="X",$N33,0)
+IF(R34="X",$N34,0)
+IF(R35="X",$N35,0)
+IF(R36="X",$N36,0)
+IF(R37="X",$N37,0)
+IF(R38="X",$N38,0)
+IF(R39="X",$N39,0)
+IF(R40="X",$N40,0)
+IF(R41="X",$N41,0)
+IF(R42="X",$N42,0)
+IF(R43="X",$N43,0)
+IF(R44="X",$N44,0)
+IF(R45="X",$N45,0)
+IF(R46="X",$N46,0)
+IF(R47="X",$N47,0)
+IF(R48="X",$N48,0)
+IF(R49="X",$N49,0)
+IF(R50="X",$N50,0)
+IF(R51="X",$N51,0)</f>
        <v>201600</v>
      </c>
      <c r="S2" s="107">
        <f>IF(S9="X",$N9,0)
+IF(S10="X",$N10,0)
+IF(S11="X",$N11,0)
+IF(S12="X",$N12,0)
+IF(S13="X",$N13,0)
+IF(S14="X",$N14,0)
+IF(S15="X",$N15,0)
+IF(S16="X",$N16,0)
+IF(S17="X",$N17,0)
+IF(S18="X",$N18,0)
+IF(S19="X",$N19,0)
+IF(S20="X",$N20,0)
+IF(S21="X",$N21,0)
+IF(S22="X",$N22,0)
+IF(S23="X",$N23,0)
+IF(S24="X",$N24,0)
+IF(S25="X",$N25,0)
+IF(S26="X",$N26,0)
+IF(S27="X",$N27,0)
+IF(S28="X",$N28,0)
+IF(S29="X",$N29,0)
+IF(S30="X",$N30,0)
+IF(S31="X",$N31,0)
+IF(S32="X",$N32,0)
+IF(S33="X",$N33,0)
+IF(S34="X",$N34,0)
+IF(S35="X",$N35,0)
+IF(S36="X",$N36,0)
+IF(S37="X",$N37,0)
+IF(S38="X",$N38,0)
+IF(S39="X",$N39,0)
+IF(S40="X",$N40,0)
+IF(S41="X",$N41,0)
+IF(S42="X",$N42,0)
+IF(S43="X",$N43,0)
+IF(S44="X",$N44,0)
+IF(S45="X",$N45,0)
+IF(S46="X",$N46,0)
+IF(S47="X",$N47,0)
+IF(S48="X",$N48,0)
+IF(S49="X",$N49,0)
+IF(S50="X",$N50,0)
+IF(S51="X",$N51,0)</f>
        <v>131380</v>
      </c>
      <c r="T2" s="107">
        <f>IF(T9="X",$N9,0)
+IF(T10="X",$N10,0)
+IF(T11="X",$N11,0)
+IF(T12="X",$N12,0)
+IF(T13="X",$N13,0)
+IF(T14="X",$N14,0)
+IF(T15="X",$N15,0)
+IF(T16="X",$N16,0)
+IF(T17="X",$N17,0)
+IF(T18="X",$N18,0)
+IF(T19="X",$N19,0)
+IF(T20="X",$N20,0)
+IF(T21="X",$N21,0)
+IF(T22="X",$N22,0)
+IF(T23="X",$N23,0)
+IF(T24="X",$N24,0)
+IF(T25="X",$N25,0)
+IF(T26="X",$N26,0)
+IF(T27="X",$N27,0)
+IF(T28="X",$N28,0)
+IF(T29="X",$N29,0)
+IF(T30="X",$N30,0)
+IF(T31="X",$N31,0)
+IF(T32="X",$N32,0)
+IF(T33="X",$N33,0)
+IF(T34="X",$N34,0)
+IF(T35="X",$N35,0)
+IF(T36="X",$N36,0)
+IF(T37="X",$N37,0)
+IF(T38="X",$N38,0)
+IF(T39="X",$N39,0)
+IF(T40="X",$N40,0)
+IF(T41="X",$N41,0)
+IF(T42="X",$N42,0)
+IF(T43="X",$N43,0)
+IF(T44="X",$N44,0)
+IF(T45="X",$N45,0)
+IF(T46="X",$N46,0)
+IF(T47="X",$N47,0)
+IF(T48="X",$N48,0)
+IF(T49="X",$N49,0)
+IF(T50="X",$N50,0)
+IF(T51="X",$N51,0)</f>
        <v>122240</v>
      </c>
    </row>
    <row r="3" spans="2:25" ht="11" customHeight="1" x14ac:dyDescent="0.25">
      <c r="P3" s="99"/>
      <c r="Q3" s="99"/>
      <c r="R3" s="99"/>
      <c r="S3" s="99"/>
      <c r="T3" s="99"/>
    </row>
    <row r="4" spans="2:25" x14ac:dyDescent="0.25">
      <c r="E4" s="76"/>
      <c r="F4" s="76"/>
      <c r="N4" s="102" t="s">
        <v>129</v>
      </c>
      <c r="P4" s="608" t="s">
        <v>240</v>
      </c>
      <c r="Q4" s="609"/>
      <c r="R4" s="609"/>
      <c r="S4" s="609"/>
      <c r="T4" s="610"/>
    </row>
    <row r="5" spans="2:25" x14ac:dyDescent="0.25">
      <c r="C5" s="89"/>
      <c r="D5" s="89"/>
      <c r="E5" s="77"/>
      <c r="F5" s="77"/>
      <c r="G5" s="89"/>
      <c r="H5" s="89"/>
      <c r="I5" s="89"/>
      <c r="J5" s="89"/>
      <c r="K5" s="89"/>
      <c r="L5" s="89"/>
      <c r="M5" s="89"/>
      <c r="N5" s="101">
        <f>SUM(N9:N39)</f>
        <v>218120</v>
      </c>
      <c r="O5" s="89"/>
      <c r="P5" s="613" t="s">
        <v>50</v>
      </c>
      <c r="Q5" s="614" t="s">
        <v>51</v>
      </c>
      <c r="R5" s="614" t="s">
        <v>52</v>
      </c>
      <c r="S5" s="614" t="s">
        <v>53</v>
      </c>
      <c r="T5" s="607" t="s">
        <v>54</v>
      </c>
      <c r="U5" s="89"/>
      <c r="V5" s="89"/>
      <c r="W5" s="89"/>
      <c r="X5" s="89"/>
      <c r="Y5" s="89"/>
    </row>
    <row r="6" spans="2:25" ht="14.5" customHeight="1" x14ac:dyDescent="0.25">
      <c r="C6" s="89"/>
      <c r="D6" s="89"/>
      <c r="E6" s="89"/>
      <c r="F6" s="89"/>
      <c r="G6" s="89"/>
      <c r="H6" s="89"/>
      <c r="I6" s="89"/>
      <c r="J6" s="89"/>
      <c r="K6" s="89"/>
      <c r="L6" s="89"/>
      <c r="M6" s="89"/>
      <c r="N6" s="89"/>
      <c r="O6" s="89"/>
      <c r="P6" s="613"/>
      <c r="Q6" s="614"/>
      <c r="R6" s="614"/>
      <c r="S6" s="614"/>
      <c r="T6" s="607"/>
      <c r="U6" s="89"/>
      <c r="V6" s="89"/>
      <c r="W6" s="89"/>
      <c r="X6" s="89"/>
      <c r="Y6" s="89"/>
    </row>
    <row r="7" spans="2:25" ht="19.5" customHeight="1" x14ac:dyDescent="0.25">
      <c r="C7" s="89"/>
      <c r="D7" s="89"/>
      <c r="E7" s="604" t="s">
        <v>49</v>
      </c>
      <c r="F7" s="605"/>
      <c r="G7" s="605"/>
      <c r="H7" s="105"/>
      <c r="I7" s="605" t="str">
        <f>E7</f>
        <v>Purchase Cost</v>
      </c>
      <c r="J7" s="605"/>
      <c r="K7" s="605"/>
      <c r="L7" s="605"/>
      <c r="M7" s="606"/>
      <c r="N7" s="90"/>
      <c r="O7" s="91"/>
      <c r="P7" s="613"/>
      <c r="Q7" s="614"/>
      <c r="R7" s="614"/>
      <c r="S7" s="614"/>
      <c r="T7" s="607"/>
      <c r="U7" s="611" t="s">
        <v>57</v>
      </c>
      <c r="V7" s="612"/>
      <c r="W7" s="612"/>
      <c r="X7" s="612"/>
      <c r="Y7" s="612"/>
    </row>
    <row r="8" spans="2:25" ht="18.5" customHeight="1" x14ac:dyDescent="0.25">
      <c r="B8" s="50"/>
      <c r="C8" s="92" t="s">
        <v>48</v>
      </c>
      <c r="D8" s="93" t="s">
        <v>67</v>
      </c>
      <c r="E8" s="94" t="s">
        <v>141</v>
      </c>
      <c r="F8" s="95" t="s">
        <v>59</v>
      </c>
      <c r="G8" s="95" t="s">
        <v>58</v>
      </c>
      <c r="H8" s="106"/>
      <c r="I8" s="104"/>
      <c r="J8" s="92" t="str">
        <f>C8</f>
        <v>Equipment Item</v>
      </c>
      <c r="K8" s="96" t="s">
        <v>140</v>
      </c>
      <c r="L8" s="96" t="s">
        <v>59</v>
      </c>
      <c r="M8" s="96" t="s">
        <v>58</v>
      </c>
      <c r="N8" s="97" t="s">
        <v>129</v>
      </c>
      <c r="O8" s="98" t="s">
        <v>66</v>
      </c>
      <c r="P8" s="613"/>
      <c r="Q8" s="614"/>
      <c r="R8" s="614"/>
      <c r="S8" s="614"/>
      <c r="T8" s="607"/>
      <c r="U8" s="92" t="s">
        <v>90</v>
      </c>
      <c r="V8" s="95" t="s">
        <v>56</v>
      </c>
      <c r="W8" s="94" t="s">
        <v>55</v>
      </c>
      <c r="X8" s="94" t="s">
        <v>95</v>
      </c>
      <c r="Y8" s="94" t="s">
        <v>96</v>
      </c>
    </row>
    <row r="9" spans="2:25" x14ac:dyDescent="0.25">
      <c r="B9" s="50">
        <v>1</v>
      </c>
      <c r="C9" s="56" t="s">
        <v>60</v>
      </c>
      <c r="D9" s="57"/>
      <c r="E9" s="58">
        <v>100</v>
      </c>
      <c r="F9" s="55">
        <v>6</v>
      </c>
      <c r="G9" s="59" t="s">
        <v>110</v>
      </c>
      <c r="H9" s="103"/>
      <c r="I9" s="104">
        <f>B9</f>
        <v>1</v>
      </c>
      <c r="J9" s="56" t="str">
        <f>C9</f>
        <v>Portable SS Table, 4'</v>
      </c>
      <c r="K9" s="60"/>
      <c r="L9" s="51">
        <v>0</v>
      </c>
      <c r="M9" s="61"/>
      <c r="N9" s="78">
        <f t="shared" ref="N9:N51" si="0">E9*F9+K9*L9</f>
        <v>600</v>
      </c>
      <c r="O9" s="62"/>
      <c r="P9" s="51" t="s">
        <v>232</v>
      </c>
      <c r="Q9" s="53" t="s">
        <v>232</v>
      </c>
      <c r="R9" s="53" t="s">
        <v>232</v>
      </c>
      <c r="S9" s="53" t="s">
        <v>232</v>
      </c>
      <c r="T9" s="54" t="s">
        <v>232</v>
      </c>
      <c r="U9" s="70"/>
      <c r="V9" s="63"/>
      <c r="W9" s="72"/>
      <c r="X9" s="71"/>
      <c r="Y9" s="71"/>
    </row>
    <row r="10" spans="2:25" x14ac:dyDescent="0.25">
      <c r="B10" s="50">
        <f>1+B9</f>
        <v>2</v>
      </c>
      <c r="C10" s="56" t="s">
        <v>61</v>
      </c>
      <c r="D10" s="57"/>
      <c r="E10" s="58">
        <v>110</v>
      </c>
      <c r="F10" s="55">
        <v>4</v>
      </c>
      <c r="G10" s="59" t="s">
        <v>110</v>
      </c>
      <c r="H10" s="103"/>
      <c r="I10" s="104">
        <f t="shared" ref="I10:I51" si="1">B10</f>
        <v>2</v>
      </c>
      <c r="J10" s="56" t="str">
        <f t="shared" ref="J10:J51" si="2">C10</f>
        <v>Portable wire rack, 4'</v>
      </c>
      <c r="K10" s="60"/>
      <c r="L10" s="51">
        <v>0</v>
      </c>
      <c r="M10" s="61"/>
      <c r="N10" s="78">
        <f t="shared" si="0"/>
        <v>440</v>
      </c>
      <c r="O10" s="62"/>
      <c r="P10" s="51" t="s">
        <v>232</v>
      </c>
      <c r="Q10" s="53" t="s">
        <v>232</v>
      </c>
      <c r="R10" s="53" t="s">
        <v>232</v>
      </c>
      <c r="S10" s="53" t="s">
        <v>232</v>
      </c>
      <c r="T10" s="54" t="s">
        <v>232</v>
      </c>
      <c r="U10" s="70"/>
      <c r="V10" s="63"/>
      <c r="W10" s="72"/>
      <c r="X10" s="71"/>
      <c r="Y10" s="71"/>
    </row>
    <row r="11" spans="2:25" x14ac:dyDescent="0.25">
      <c r="B11" s="50">
        <f t="shared" ref="B11:B39" si="3">1+B10</f>
        <v>3</v>
      </c>
      <c r="C11" s="56" t="s">
        <v>78</v>
      </c>
      <c r="D11" s="67" t="s">
        <v>117</v>
      </c>
      <c r="E11" s="58">
        <v>280</v>
      </c>
      <c r="F11" s="55">
        <v>1</v>
      </c>
      <c r="G11" s="59" t="s">
        <v>115</v>
      </c>
      <c r="H11" s="103"/>
      <c r="I11" s="104">
        <f t="shared" si="1"/>
        <v>3</v>
      </c>
      <c r="J11" s="56" t="str">
        <f t="shared" si="2"/>
        <v>Proofing oven, Portable</v>
      </c>
      <c r="K11" s="60"/>
      <c r="L11" s="51">
        <v>0</v>
      </c>
      <c r="M11" s="61"/>
      <c r="N11" s="78">
        <f t="shared" si="0"/>
        <v>280</v>
      </c>
      <c r="O11" s="62"/>
      <c r="P11" s="51"/>
      <c r="Q11" s="53"/>
      <c r="R11" s="53"/>
      <c r="S11" s="53" t="s">
        <v>232</v>
      </c>
      <c r="T11" s="54" t="s">
        <v>232</v>
      </c>
      <c r="U11" s="70"/>
      <c r="V11" s="63"/>
      <c r="W11" s="72"/>
      <c r="X11" s="71"/>
      <c r="Y11" s="71"/>
    </row>
    <row r="12" spans="2:25" x14ac:dyDescent="0.25">
      <c r="B12" s="50">
        <f t="shared" si="3"/>
        <v>4</v>
      </c>
      <c r="C12" s="56" t="s">
        <v>77</v>
      </c>
      <c r="D12" s="66" t="s">
        <v>76</v>
      </c>
      <c r="E12" s="58">
        <v>8560</v>
      </c>
      <c r="F12" s="55">
        <v>0</v>
      </c>
      <c r="G12" s="59" t="s">
        <v>115</v>
      </c>
      <c r="H12" s="103"/>
      <c r="I12" s="104">
        <f t="shared" si="1"/>
        <v>4</v>
      </c>
      <c r="J12" s="56" t="str">
        <f t="shared" si="2"/>
        <v>Electric Oven, Portable</v>
      </c>
      <c r="K12" s="60"/>
      <c r="L12" s="51">
        <v>0</v>
      </c>
      <c r="M12" s="61"/>
      <c r="N12" s="78">
        <f t="shared" si="0"/>
        <v>0</v>
      </c>
      <c r="O12" s="62" t="s">
        <v>79</v>
      </c>
      <c r="P12" s="51"/>
      <c r="Q12" s="53"/>
      <c r="R12" s="53"/>
      <c r="S12" s="53"/>
      <c r="T12" s="54"/>
      <c r="U12" s="70">
        <v>28.9</v>
      </c>
      <c r="V12" s="63" t="s">
        <v>108</v>
      </c>
      <c r="W12" s="72">
        <v>6000</v>
      </c>
      <c r="X12" s="71"/>
      <c r="Y12" s="71"/>
    </row>
    <row r="13" spans="2:25" x14ac:dyDescent="0.25">
      <c r="B13" s="50">
        <f t="shared" si="3"/>
        <v>5</v>
      </c>
      <c r="C13" s="56" t="s">
        <v>71</v>
      </c>
      <c r="D13" s="67" t="s">
        <v>109</v>
      </c>
      <c r="E13" s="58">
        <v>14000</v>
      </c>
      <c r="F13" s="55">
        <v>1</v>
      </c>
      <c r="G13" s="59" t="s">
        <v>130</v>
      </c>
      <c r="H13" s="103"/>
      <c r="I13" s="104">
        <f t="shared" si="1"/>
        <v>5</v>
      </c>
      <c r="J13" s="56" t="str">
        <f t="shared" si="2"/>
        <v>40 gallon electric steam kettle, Electric</v>
      </c>
      <c r="K13" s="60">
        <v>5000</v>
      </c>
      <c r="L13" s="51">
        <v>0</v>
      </c>
      <c r="M13" s="59" t="s">
        <v>118</v>
      </c>
      <c r="N13" s="100">
        <f t="shared" si="0"/>
        <v>14000</v>
      </c>
      <c r="O13" s="62" t="s">
        <v>82</v>
      </c>
      <c r="P13" s="51" t="s">
        <v>232</v>
      </c>
      <c r="Q13" s="53" t="s">
        <v>232</v>
      </c>
      <c r="R13" s="53"/>
      <c r="S13" s="53" t="s">
        <v>232</v>
      </c>
      <c r="T13" s="54" t="s">
        <v>232</v>
      </c>
      <c r="U13" s="70">
        <v>100</v>
      </c>
      <c r="V13" s="63" t="s">
        <v>92</v>
      </c>
      <c r="W13" s="72">
        <v>24000</v>
      </c>
      <c r="X13" s="71"/>
      <c r="Y13" s="71"/>
    </row>
    <row r="14" spans="2:25" x14ac:dyDescent="0.25">
      <c r="B14" s="50">
        <f t="shared" si="3"/>
        <v>6</v>
      </c>
      <c r="C14" s="56" t="s">
        <v>62</v>
      </c>
      <c r="D14" s="67" t="s">
        <v>119</v>
      </c>
      <c r="E14" s="58">
        <v>5700</v>
      </c>
      <c r="F14" s="55">
        <v>1</v>
      </c>
      <c r="G14" s="59" t="s">
        <v>115</v>
      </c>
      <c r="H14" s="103"/>
      <c r="I14" s="104">
        <f t="shared" si="1"/>
        <v>6</v>
      </c>
      <c r="J14" s="56" t="str">
        <f t="shared" si="2"/>
        <v>5 gallon electric steam kettle</v>
      </c>
      <c r="K14" s="60"/>
      <c r="L14" s="51">
        <v>0</v>
      </c>
      <c r="M14" s="61"/>
      <c r="N14" s="78">
        <f t="shared" si="0"/>
        <v>5700</v>
      </c>
      <c r="O14" s="62"/>
      <c r="P14" s="51"/>
      <c r="Q14" s="53"/>
      <c r="R14" s="53"/>
      <c r="S14" s="53"/>
      <c r="T14" s="54" t="s">
        <v>232</v>
      </c>
      <c r="U14" s="70">
        <v>31.3</v>
      </c>
      <c r="V14" s="63" t="s">
        <v>92</v>
      </c>
      <c r="W14" s="72">
        <v>7500</v>
      </c>
      <c r="X14" s="71"/>
      <c r="Y14" s="71"/>
    </row>
    <row r="15" spans="2:25" x14ac:dyDescent="0.25">
      <c r="B15" s="50">
        <f t="shared" si="3"/>
        <v>7</v>
      </c>
      <c r="C15" s="56" t="s">
        <v>63</v>
      </c>
      <c r="D15" s="67" t="s">
        <v>143</v>
      </c>
      <c r="E15" s="58">
        <v>10000</v>
      </c>
      <c r="F15" s="55">
        <v>1</v>
      </c>
      <c r="G15" s="59" t="s">
        <v>138</v>
      </c>
      <c r="H15" s="103"/>
      <c r="I15" s="104">
        <f t="shared" si="1"/>
        <v>7</v>
      </c>
      <c r="J15" s="56" t="str">
        <f t="shared" si="2"/>
        <v>Volumetric Filler</v>
      </c>
      <c r="K15" s="60">
        <v>5000</v>
      </c>
      <c r="L15" s="51">
        <v>0</v>
      </c>
      <c r="M15" s="61" t="s">
        <v>118</v>
      </c>
      <c r="N15" s="78">
        <f t="shared" si="0"/>
        <v>10000</v>
      </c>
      <c r="O15" s="62" t="s">
        <v>82</v>
      </c>
      <c r="P15" s="51"/>
      <c r="Q15" s="53"/>
      <c r="R15" s="53"/>
      <c r="S15" s="53" t="s">
        <v>232</v>
      </c>
      <c r="T15" s="54" t="s">
        <v>232</v>
      </c>
      <c r="U15" s="70"/>
      <c r="V15" s="63" t="s">
        <v>93</v>
      </c>
      <c r="W15" s="72"/>
      <c r="X15" s="73">
        <v>0.33</v>
      </c>
      <c r="Y15" s="71"/>
    </row>
    <row r="16" spans="2:25" x14ac:dyDescent="0.25">
      <c r="B16" s="50">
        <f t="shared" si="3"/>
        <v>8</v>
      </c>
      <c r="C16" s="56" t="s">
        <v>63</v>
      </c>
      <c r="D16" s="67" t="s">
        <v>237</v>
      </c>
      <c r="E16" s="58">
        <v>3500</v>
      </c>
      <c r="F16" s="55">
        <v>0</v>
      </c>
      <c r="G16" s="59" t="s">
        <v>236</v>
      </c>
      <c r="H16" s="103"/>
      <c r="I16" s="104">
        <f t="shared" si="1"/>
        <v>8</v>
      </c>
      <c r="J16" s="56" t="str">
        <f t="shared" si="2"/>
        <v>Volumetric Filler</v>
      </c>
      <c r="K16" s="60"/>
      <c r="L16" s="51">
        <v>0</v>
      </c>
      <c r="M16" s="61"/>
      <c r="N16" s="78">
        <f t="shared" si="0"/>
        <v>0</v>
      </c>
      <c r="O16" s="62"/>
      <c r="P16" s="51" t="s">
        <v>232</v>
      </c>
      <c r="Q16" s="53" t="s">
        <v>232</v>
      </c>
      <c r="R16" s="53" t="s">
        <v>232</v>
      </c>
      <c r="S16" s="53"/>
      <c r="T16" s="54" t="s">
        <v>232</v>
      </c>
      <c r="U16" s="70">
        <v>20</v>
      </c>
      <c r="V16" s="63" t="s">
        <v>92</v>
      </c>
      <c r="W16" s="72"/>
      <c r="X16" s="74" t="s">
        <v>125</v>
      </c>
      <c r="Y16" s="71"/>
    </row>
    <row r="17" spans="2:25" x14ac:dyDescent="0.25">
      <c r="B17" s="50">
        <f t="shared" si="3"/>
        <v>9</v>
      </c>
      <c r="C17" s="56" t="s">
        <v>124</v>
      </c>
      <c r="D17" s="57"/>
      <c r="E17" s="58">
        <v>1000</v>
      </c>
      <c r="F17" s="55">
        <v>0</v>
      </c>
      <c r="G17" s="59" t="s">
        <v>229</v>
      </c>
      <c r="H17" s="103"/>
      <c r="I17" s="104">
        <f t="shared" si="1"/>
        <v>9</v>
      </c>
      <c r="J17" s="56" t="str">
        <f t="shared" si="2"/>
        <v>Air compressor for volumetric filler</v>
      </c>
      <c r="K17" s="60"/>
      <c r="L17" s="51">
        <v>0</v>
      </c>
      <c r="M17" s="61"/>
      <c r="N17" s="78">
        <f t="shared" si="0"/>
        <v>0</v>
      </c>
      <c r="O17" s="62"/>
      <c r="P17" s="51" t="s">
        <v>232</v>
      </c>
      <c r="Q17" s="53" t="s">
        <v>232</v>
      </c>
      <c r="R17" s="53" t="s">
        <v>232</v>
      </c>
      <c r="S17" s="53"/>
      <c r="T17" s="54" t="s">
        <v>232</v>
      </c>
      <c r="U17" s="70">
        <v>20</v>
      </c>
      <c r="V17" s="63" t="s">
        <v>92</v>
      </c>
      <c r="W17" s="72"/>
      <c r="X17" s="74" t="s">
        <v>125</v>
      </c>
      <c r="Y17" s="71"/>
    </row>
    <row r="18" spans="2:25" x14ac:dyDescent="0.25">
      <c r="B18" s="50">
        <f t="shared" si="3"/>
        <v>10</v>
      </c>
      <c r="C18" s="56" t="s">
        <v>72</v>
      </c>
      <c r="D18" s="57"/>
      <c r="E18" s="58">
        <v>250</v>
      </c>
      <c r="F18" s="55">
        <v>2</v>
      </c>
      <c r="G18" s="59"/>
      <c r="H18" s="103"/>
      <c r="I18" s="104">
        <f t="shared" si="1"/>
        <v>10</v>
      </c>
      <c r="J18" s="56" t="str">
        <f t="shared" si="2"/>
        <v>Cooling Tank, 100 gallon</v>
      </c>
      <c r="K18" s="60"/>
      <c r="L18" s="51">
        <v>0</v>
      </c>
      <c r="M18" s="61"/>
      <c r="N18" s="78">
        <f t="shared" si="0"/>
        <v>500</v>
      </c>
      <c r="O18" s="62"/>
      <c r="P18" s="51" t="s">
        <v>232</v>
      </c>
      <c r="Q18" s="53" t="s">
        <v>232</v>
      </c>
      <c r="R18" s="53" t="s">
        <v>232</v>
      </c>
      <c r="S18" s="53"/>
      <c r="T18" s="54"/>
      <c r="U18" s="70"/>
      <c r="V18" s="63"/>
      <c r="W18" s="72"/>
      <c r="X18" s="71"/>
      <c r="Y18" s="71"/>
    </row>
    <row r="19" spans="2:25" x14ac:dyDescent="0.25">
      <c r="B19" s="50">
        <f t="shared" si="3"/>
        <v>11</v>
      </c>
      <c r="C19" s="56" t="s">
        <v>80</v>
      </c>
      <c r="D19" s="57"/>
      <c r="E19" s="58">
        <v>400</v>
      </c>
      <c r="F19" s="55">
        <v>2</v>
      </c>
      <c r="G19" s="59"/>
      <c r="H19" s="103"/>
      <c r="I19" s="104">
        <f t="shared" si="1"/>
        <v>11</v>
      </c>
      <c r="J19" s="56" t="str">
        <f t="shared" si="2"/>
        <v>Soak Tank, 250 gallon</v>
      </c>
      <c r="K19" s="60"/>
      <c r="L19" s="51">
        <v>0</v>
      </c>
      <c r="M19" s="61"/>
      <c r="N19" s="78">
        <f t="shared" si="0"/>
        <v>800</v>
      </c>
      <c r="O19" s="62"/>
      <c r="S19" s="53"/>
      <c r="T19" s="54"/>
      <c r="U19" s="70"/>
      <c r="V19" s="63"/>
      <c r="W19" s="72"/>
      <c r="X19" s="71"/>
      <c r="Y19" s="71"/>
    </row>
    <row r="20" spans="2:25" x14ac:dyDescent="0.25">
      <c r="B20" s="50">
        <f t="shared" si="3"/>
        <v>12</v>
      </c>
      <c r="C20" s="56" t="s">
        <v>64</v>
      </c>
      <c r="D20" s="67" t="s">
        <v>139</v>
      </c>
      <c r="E20" s="58">
        <v>3760</v>
      </c>
      <c r="F20" s="55">
        <v>1</v>
      </c>
      <c r="G20" s="59" t="s">
        <v>115</v>
      </c>
      <c r="H20" s="103"/>
      <c r="I20" s="104">
        <f t="shared" si="1"/>
        <v>12</v>
      </c>
      <c r="J20" s="56" t="str">
        <f t="shared" si="2"/>
        <v>Ice Maker</v>
      </c>
      <c r="K20" s="60"/>
      <c r="L20" s="51">
        <v>0</v>
      </c>
      <c r="M20" s="61"/>
      <c r="N20" s="78">
        <f t="shared" si="0"/>
        <v>3760</v>
      </c>
      <c r="O20" s="62"/>
      <c r="P20" s="51" t="s">
        <v>232</v>
      </c>
      <c r="Q20" s="53" t="s">
        <v>232</v>
      </c>
      <c r="R20" s="53" t="s">
        <v>232</v>
      </c>
      <c r="S20" s="53"/>
      <c r="T20" s="54"/>
      <c r="U20" s="70"/>
      <c r="V20" s="63"/>
      <c r="W20" s="72"/>
      <c r="X20" s="71"/>
      <c r="Y20" s="71"/>
    </row>
    <row r="21" spans="2:25" x14ac:dyDescent="0.25">
      <c r="B21" s="50">
        <f t="shared" si="3"/>
        <v>13</v>
      </c>
      <c r="C21" s="56" t="s">
        <v>65</v>
      </c>
      <c r="D21" s="67" t="s">
        <v>112</v>
      </c>
      <c r="E21" s="58">
        <v>32730</v>
      </c>
      <c r="F21" s="55">
        <v>1</v>
      </c>
      <c r="G21" s="59" t="s">
        <v>115</v>
      </c>
      <c r="H21" s="103"/>
      <c r="I21" s="104">
        <f t="shared" si="1"/>
        <v>13</v>
      </c>
      <c r="J21" s="56" t="str">
        <f t="shared" si="2"/>
        <v>Portable Blast Chiller</v>
      </c>
      <c r="K21" s="60"/>
      <c r="L21" s="51">
        <v>0</v>
      </c>
      <c r="M21" s="61"/>
      <c r="N21" s="78">
        <f t="shared" si="0"/>
        <v>32730</v>
      </c>
      <c r="O21" s="62"/>
      <c r="P21" s="51" t="s">
        <v>232</v>
      </c>
      <c r="Q21" s="53" t="s">
        <v>232</v>
      </c>
      <c r="R21" s="53" t="s">
        <v>232</v>
      </c>
      <c r="S21" s="53"/>
      <c r="T21" s="54"/>
      <c r="U21" s="70">
        <v>15</v>
      </c>
      <c r="V21" s="63" t="s">
        <v>92</v>
      </c>
      <c r="W21" s="72"/>
      <c r="X21" s="71"/>
      <c r="Y21" s="71"/>
    </row>
    <row r="22" spans="2:25" x14ac:dyDescent="0.25">
      <c r="B22" s="50">
        <f t="shared" si="3"/>
        <v>14</v>
      </c>
      <c r="C22" s="56" t="s">
        <v>111</v>
      </c>
      <c r="D22" s="66" t="s">
        <v>113</v>
      </c>
      <c r="E22" s="58">
        <v>19410</v>
      </c>
      <c r="F22" s="55">
        <v>1</v>
      </c>
      <c r="G22" s="59" t="s">
        <v>115</v>
      </c>
      <c r="H22" s="103"/>
      <c r="I22" s="104">
        <f t="shared" si="1"/>
        <v>14</v>
      </c>
      <c r="J22" s="56" t="str">
        <f t="shared" si="2"/>
        <v>Compressor for Blast Chiller</v>
      </c>
      <c r="K22" s="60"/>
      <c r="L22" s="51">
        <v>0</v>
      </c>
      <c r="M22" s="61"/>
      <c r="N22" s="78">
        <f t="shared" si="0"/>
        <v>19410</v>
      </c>
      <c r="O22" s="62"/>
      <c r="P22" s="51" t="s">
        <v>232</v>
      </c>
      <c r="Q22" s="53" t="s">
        <v>232</v>
      </c>
      <c r="R22" s="53" t="s">
        <v>232</v>
      </c>
      <c r="S22" s="53"/>
      <c r="T22" s="54"/>
      <c r="U22" s="70">
        <v>42.3</v>
      </c>
      <c r="V22" s="63" t="s">
        <v>114</v>
      </c>
      <c r="W22" s="72"/>
      <c r="X22" s="71">
        <v>6</v>
      </c>
      <c r="Y22" s="71"/>
    </row>
    <row r="23" spans="2:25" x14ac:dyDescent="0.25">
      <c r="B23" s="50">
        <f t="shared" si="3"/>
        <v>15</v>
      </c>
      <c r="C23" s="56" t="s">
        <v>107</v>
      </c>
      <c r="D23" s="66" t="s">
        <v>105</v>
      </c>
      <c r="E23" s="58">
        <v>10060</v>
      </c>
      <c r="F23" s="55">
        <v>1</v>
      </c>
      <c r="G23" s="59" t="s">
        <v>115</v>
      </c>
      <c r="H23" s="103"/>
      <c r="I23" s="104">
        <f t="shared" si="1"/>
        <v>15</v>
      </c>
      <c r="J23" s="56" t="str">
        <f t="shared" si="2"/>
        <v>Potato-Beet Abbrasive batch peeler 22 lb</v>
      </c>
      <c r="K23" s="60"/>
      <c r="L23" s="51">
        <v>0</v>
      </c>
      <c r="M23" s="61"/>
      <c r="N23" s="78">
        <f t="shared" si="0"/>
        <v>10060</v>
      </c>
      <c r="O23" s="62"/>
      <c r="P23" s="51"/>
      <c r="Q23" s="53"/>
      <c r="R23" s="53" t="s">
        <v>232</v>
      </c>
      <c r="S23" s="53"/>
      <c r="T23" s="54" t="s">
        <v>232</v>
      </c>
      <c r="U23" s="70"/>
      <c r="V23" s="63" t="s">
        <v>93</v>
      </c>
      <c r="W23" s="72"/>
      <c r="X23" s="73">
        <v>0.5</v>
      </c>
      <c r="Y23" s="71"/>
    </row>
    <row r="24" spans="2:25" x14ac:dyDescent="0.25">
      <c r="B24" s="50">
        <f t="shared" si="3"/>
        <v>16</v>
      </c>
      <c r="C24" s="56" t="s">
        <v>106</v>
      </c>
      <c r="D24" s="66" t="s">
        <v>104</v>
      </c>
      <c r="E24" s="58">
        <v>840</v>
      </c>
      <c r="F24" s="55">
        <v>1</v>
      </c>
      <c r="G24" s="59" t="s">
        <v>115</v>
      </c>
      <c r="H24" s="103"/>
      <c r="I24" s="104">
        <f t="shared" si="1"/>
        <v>16</v>
      </c>
      <c r="J24" s="56" t="str">
        <f t="shared" si="2"/>
        <v>Garlic Abbrasive Peeler, 8 lb</v>
      </c>
      <c r="K24" s="60"/>
      <c r="L24" s="51">
        <v>0</v>
      </c>
      <c r="M24" s="61"/>
      <c r="N24" s="78">
        <f t="shared" si="0"/>
        <v>840</v>
      </c>
      <c r="O24" s="62" t="s">
        <v>82</v>
      </c>
      <c r="P24" s="51"/>
      <c r="Q24" s="53"/>
      <c r="R24" s="53"/>
      <c r="S24" s="53"/>
      <c r="T24" s="54" t="s">
        <v>232</v>
      </c>
      <c r="U24" s="70"/>
      <c r="V24" s="63" t="s">
        <v>93</v>
      </c>
      <c r="W24" s="72"/>
      <c r="X24" s="73">
        <v>0.25</v>
      </c>
      <c r="Y24" s="71"/>
    </row>
    <row r="25" spans="2:25" x14ac:dyDescent="0.25">
      <c r="B25" s="50">
        <f t="shared" si="3"/>
        <v>17</v>
      </c>
      <c r="C25" s="56" t="s">
        <v>68</v>
      </c>
      <c r="D25" s="67" t="s">
        <v>136</v>
      </c>
      <c r="E25" s="58">
        <v>440</v>
      </c>
      <c r="F25" s="55">
        <v>1</v>
      </c>
      <c r="G25" s="59" t="s">
        <v>137</v>
      </c>
      <c r="H25" s="103"/>
      <c r="I25" s="104">
        <f t="shared" si="1"/>
        <v>17</v>
      </c>
      <c r="J25" s="56" t="str">
        <f t="shared" si="2"/>
        <v>pH Meter</v>
      </c>
      <c r="K25" s="60"/>
      <c r="L25" s="51">
        <v>0</v>
      </c>
      <c r="M25" s="61"/>
      <c r="N25" s="78">
        <f t="shared" si="0"/>
        <v>440</v>
      </c>
      <c r="O25" s="62"/>
      <c r="P25" s="51"/>
      <c r="Q25" s="53"/>
      <c r="R25" s="53"/>
      <c r="S25" s="53" t="s">
        <v>232</v>
      </c>
      <c r="T25" s="54" t="s">
        <v>232</v>
      </c>
      <c r="U25" s="70"/>
      <c r="V25" s="63"/>
      <c r="W25" s="72"/>
      <c r="X25" s="71"/>
      <c r="Y25" s="71"/>
    </row>
    <row r="26" spans="2:25" x14ac:dyDescent="0.25">
      <c r="B26" s="50">
        <f t="shared" si="3"/>
        <v>18</v>
      </c>
      <c r="C26" s="56" t="s">
        <v>69</v>
      </c>
      <c r="D26" s="67" t="s">
        <v>135</v>
      </c>
      <c r="E26" s="58">
        <v>3000</v>
      </c>
      <c r="F26" s="55">
        <v>1</v>
      </c>
      <c r="G26" s="59" t="s">
        <v>142</v>
      </c>
      <c r="H26" s="103"/>
      <c r="I26" s="104">
        <f t="shared" si="1"/>
        <v>18</v>
      </c>
      <c r="J26" s="56" t="str">
        <f t="shared" si="2"/>
        <v>Water Activity Meter</v>
      </c>
      <c r="K26" s="60"/>
      <c r="L26" s="51">
        <v>0</v>
      </c>
      <c r="M26" s="61"/>
      <c r="N26" s="78">
        <f t="shared" si="0"/>
        <v>3000</v>
      </c>
      <c r="O26" s="62"/>
      <c r="P26" s="51"/>
      <c r="Q26" s="53"/>
      <c r="R26" s="53"/>
      <c r="S26" s="53" t="s">
        <v>232</v>
      </c>
      <c r="T26" s="54" t="s">
        <v>232</v>
      </c>
      <c r="U26" s="70"/>
      <c r="V26" s="63"/>
      <c r="W26" s="72"/>
      <c r="X26" s="71"/>
      <c r="Y26" s="71"/>
    </row>
    <row r="27" spans="2:25" x14ac:dyDescent="0.25">
      <c r="B27" s="50">
        <f t="shared" si="3"/>
        <v>19</v>
      </c>
      <c r="C27" s="56" t="s">
        <v>70</v>
      </c>
      <c r="D27" s="67" t="s">
        <v>227</v>
      </c>
      <c r="E27" s="58">
        <v>8600</v>
      </c>
      <c r="F27" s="55">
        <v>4</v>
      </c>
      <c r="G27" s="59" t="s">
        <v>115</v>
      </c>
      <c r="H27" s="103"/>
      <c r="I27" s="104">
        <f t="shared" si="1"/>
        <v>19</v>
      </c>
      <c r="J27" s="56" t="str">
        <f t="shared" si="2"/>
        <v>Walkin Freezer</v>
      </c>
      <c r="K27" s="60"/>
      <c r="L27" s="51">
        <v>0</v>
      </c>
      <c r="M27" s="61"/>
      <c r="N27" s="78">
        <f t="shared" si="0"/>
        <v>34400</v>
      </c>
      <c r="O27" s="62"/>
      <c r="P27" s="51" t="s">
        <v>232</v>
      </c>
      <c r="Q27" s="53" t="s">
        <v>232</v>
      </c>
      <c r="R27" s="53" t="s">
        <v>232</v>
      </c>
      <c r="S27" s="53"/>
      <c r="T27" s="54"/>
      <c r="U27" s="70"/>
      <c r="V27" s="63"/>
      <c r="W27" s="72"/>
      <c r="X27" s="71"/>
      <c r="Y27" s="71"/>
    </row>
    <row r="28" spans="2:25" x14ac:dyDescent="0.25">
      <c r="B28" s="50">
        <f>1+B27</f>
        <v>20</v>
      </c>
      <c r="C28" s="56" t="s">
        <v>226</v>
      </c>
      <c r="D28" s="67" t="s">
        <v>228</v>
      </c>
      <c r="E28" s="58">
        <v>11000</v>
      </c>
      <c r="F28" s="55">
        <v>4</v>
      </c>
      <c r="G28" s="59" t="s">
        <v>115</v>
      </c>
      <c r="H28" s="103"/>
      <c r="I28" s="104">
        <f t="shared" si="1"/>
        <v>20</v>
      </c>
      <c r="J28" s="56" t="str">
        <f t="shared" si="2"/>
        <v>Walkin Cooler</v>
      </c>
      <c r="K28" s="60"/>
      <c r="L28" s="51">
        <v>0</v>
      </c>
      <c r="M28" s="61"/>
      <c r="N28" s="78">
        <f t="shared" si="0"/>
        <v>44000</v>
      </c>
      <c r="O28" s="62"/>
      <c r="P28" s="51" t="s">
        <v>232</v>
      </c>
      <c r="Q28" s="53" t="s">
        <v>232</v>
      </c>
      <c r="R28" s="53" t="s">
        <v>232</v>
      </c>
      <c r="S28" s="53" t="s">
        <v>232</v>
      </c>
      <c r="T28" s="54" t="s">
        <v>232</v>
      </c>
      <c r="U28" s="70">
        <v>10</v>
      </c>
      <c r="V28" s="63" t="s">
        <v>102</v>
      </c>
      <c r="W28" s="72">
        <v>2200</v>
      </c>
      <c r="X28" s="71">
        <v>5</v>
      </c>
      <c r="Y28" s="71"/>
    </row>
    <row r="29" spans="2:25" x14ac:dyDescent="0.25">
      <c r="B29" s="50">
        <f>1+B28</f>
        <v>21</v>
      </c>
      <c r="C29" s="56" t="s">
        <v>73</v>
      </c>
      <c r="D29" s="67" t="s">
        <v>128</v>
      </c>
      <c r="E29" s="58">
        <v>11100</v>
      </c>
      <c r="F29" s="55">
        <v>1</v>
      </c>
      <c r="G29" s="59" t="s">
        <v>115</v>
      </c>
      <c r="H29" s="103"/>
      <c r="I29" s="104">
        <f t="shared" si="1"/>
        <v>21</v>
      </c>
      <c r="J29" s="56" t="str">
        <f t="shared" si="2"/>
        <v>Vacuum Bag Sealer</v>
      </c>
      <c r="K29" s="60"/>
      <c r="L29" s="51">
        <v>0</v>
      </c>
      <c r="M29" s="61"/>
      <c r="N29" s="78">
        <f t="shared" si="0"/>
        <v>11100</v>
      </c>
      <c r="O29" s="62"/>
      <c r="P29" s="51" t="s">
        <v>232</v>
      </c>
      <c r="Q29" s="53" t="s">
        <v>232</v>
      </c>
      <c r="R29" s="53" t="s">
        <v>232</v>
      </c>
      <c r="S29" s="53" t="s">
        <v>232</v>
      </c>
      <c r="T29" s="54"/>
      <c r="U29" s="70">
        <v>10</v>
      </c>
      <c r="V29" s="63" t="s">
        <v>102</v>
      </c>
      <c r="W29" s="72">
        <v>2200</v>
      </c>
      <c r="X29" s="71">
        <v>5</v>
      </c>
      <c r="Y29" s="71"/>
    </row>
    <row r="30" spans="2:25" x14ac:dyDescent="0.25">
      <c r="B30" s="50">
        <f t="shared" si="3"/>
        <v>22</v>
      </c>
      <c r="C30" s="56" t="s">
        <v>74</v>
      </c>
      <c r="D30" s="66" t="s">
        <v>83</v>
      </c>
      <c r="E30" s="58">
        <v>15000</v>
      </c>
      <c r="F30" s="55">
        <v>1</v>
      </c>
      <c r="G30" s="59" t="s">
        <v>138</v>
      </c>
      <c r="H30" s="103"/>
      <c r="I30" s="104">
        <f t="shared" si="1"/>
        <v>22</v>
      </c>
      <c r="J30" s="56" t="str">
        <f t="shared" si="2"/>
        <v>Vegetable Processor</v>
      </c>
      <c r="K30" s="60">
        <v>5500</v>
      </c>
      <c r="L30" s="51">
        <v>0</v>
      </c>
      <c r="M30" s="68" t="s">
        <v>100</v>
      </c>
      <c r="N30" s="78">
        <f t="shared" si="0"/>
        <v>15000</v>
      </c>
      <c r="O30" s="62" t="s">
        <v>82</v>
      </c>
      <c r="P30" s="51"/>
      <c r="Q30" s="53"/>
      <c r="R30" s="53" t="s">
        <v>232</v>
      </c>
      <c r="S30" s="53" t="s">
        <v>232</v>
      </c>
      <c r="T30" s="54"/>
      <c r="U30" s="70">
        <v>16</v>
      </c>
      <c r="V30" s="63" t="s">
        <v>103</v>
      </c>
      <c r="W30" s="72">
        <v>1500</v>
      </c>
      <c r="X30" s="71">
        <f>1500/743</f>
        <v>2.018842530282638</v>
      </c>
      <c r="Y30" s="71"/>
    </row>
    <row r="31" spans="2:25" x14ac:dyDescent="0.25">
      <c r="B31" s="50">
        <f t="shared" si="3"/>
        <v>23</v>
      </c>
      <c r="C31" s="56" t="s">
        <v>233</v>
      </c>
      <c r="D31" s="57" t="s">
        <v>116</v>
      </c>
      <c r="E31" s="58">
        <v>1760</v>
      </c>
      <c r="F31" s="55">
        <v>1</v>
      </c>
      <c r="G31" s="69" t="s">
        <v>99</v>
      </c>
      <c r="H31" s="103"/>
      <c r="I31" s="104">
        <f t="shared" si="1"/>
        <v>23</v>
      </c>
      <c r="J31" s="56" t="str">
        <f t="shared" si="2"/>
        <v>Manual Push Feed for Vegetable Processor</v>
      </c>
      <c r="K31" s="60"/>
      <c r="L31" s="51">
        <v>0</v>
      </c>
      <c r="M31" s="61"/>
      <c r="N31" s="78">
        <f t="shared" si="0"/>
        <v>1760</v>
      </c>
      <c r="O31" s="62"/>
      <c r="P31" s="51"/>
      <c r="Q31" s="53"/>
      <c r="R31" s="53" t="s">
        <v>232</v>
      </c>
      <c r="S31" s="53"/>
      <c r="T31" s="54"/>
      <c r="U31" s="70"/>
      <c r="V31" s="63"/>
      <c r="W31" s="72"/>
      <c r="X31" s="71"/>
      <c r="Y31" s="71"/>
    </row>
    <row r="32" spans="2:25" x14ac:dyDescent="0.25">
      <c r="B32" s="50">
        <f t="shared" si="3"/>
        <v>24</v>
      </c>
      <c r="C32" s="56" t="s">
        <v>86</v>
      </c>
      <c r="D32" s="67" t="s">
        <v>97</v>
      </c>
      <c r="E32" s="58">
        <v>12200</v>
      </c>
      <c r="F32" s="55">
        <v>0</v>
      </c>
      <c r="G32" s="59" t="s">
        <v>115</v>
      </c>
      <c r="H32" s="103"/>
      <c r="I32" s="104">
        <f t="shared" si="1"/>
        <v>24</v>
      </c>
      <c r="J32" s="56" t="str">
        <f t="shared" si="2"/>
        <v>Vegetable Cutter</v>
      </c>
      <c r="K32" s="60">
        <v>4750</v>
      </c>
      <c r="L32" s="51">
        <v>0</v>
      </c>
      <c r="M32" s="68" t="s">
        <v>88</v>
      </c>
      <c r="N32" s="78">
        <f t="shared" si="0"/>
        <v>0</v>
      </c>
      <c r="O32" s="62" t="s">
        <v>82</v>
      </c>
      <c r="P32" s="51"/>
      <c r="Q32" s="53"/>
      <c r="R32" s="53"/>
      <c r="S32" s="53"/>
      <c r="T32" s="54"/>
      <c r="U32" s="70">
        <v>23.5</v>
      </c>
      <c r="V32" s="63" t="s">
        <v>114</v>
      </c>
      <c r="W32" s="72"/>
      <c r="X32" s="71">
        <v>5</v>
      </c>
      <c r="Y32" s="71"/>
    </row>
    <row r="33" spans="2:25" x14ac:dyDescent="0.25">
      <c r="B33" s="50">
        <f t="shared" si="3"/>
        <v>25</v>
      </c>
      <c r="C33" s="56" t="s">
        <v>98</v>
      </c>
      <c r="D33" s="57"/>
      <c r="E33" s="58">
        <v>4000</v>
      </c>
      <c r="F33" s="55">
        <v>0</v>
      </c>
      <c r="G33" s="69" t="s">
        <v>99</v>
      </c>
      <c r="H33" s="103"/>
      <c r="I33" s="104">
        <f t="shared" si="1"/>
        <v>25</v>
      </c>
      <c r="J33" s="56" t="str">
        <f t="shared" si="2"/>
        <v>Tooling for vegetable cutters</v>
      </c>
      <c r="K33" s="60"/>
      <c r="L33" s="51">
        <v>0</v>
      </c>
      <c r="M33" s="61"/>
      <c r="N33" s="78">
        <f t="shared" si="0"/>
        <v>0</v>
      </c>
      <c r="O33" s="62"/>
      <c r="P33" s="51"/>
      <c r="Q33" s="53"/>
      <c r="R33" s="53"/>
      <c r="S33" s="53"/>
      <c r="T33" s="54"/>
      <c r="U33" s="70"/>
      <c r="V33" s="63"/>
      <c r="W33" s="72"/>
      <c r="X33" s="71"/>
      <c r="Y33" s="71"/>
    </row>
    <row r="34" spans="2:25" x14ac:dyDescent="0.25">
      <c r="B34" s="50">
        <f t="shared" si="3"/>
        <v>26</v>
      </c>
      <c r="C34" s="56" t="s">
        <v>131</v>
      </c>
      <c r="D34" s="67" t="s">
        <v>132</v>
      </c>
      <c r="E34" s="58">
        <v>280</v>
      </c>
      <c r="F34" s="55">
        <v>1</v>
      </c>
      <c r="G34" s="59" t="s">
        <v>115</v>
      </c>
      <c r="H34" s="103"/>
      <c r="I34" s="104">
        <f t="shared" si="1"/>
        <v>26</v>
      </c>
      <c r="J34" s="56" t="str">
        <f t="shared" si="2"/>
        <v>Gram Scale</v>
      </c>
      <c r="K34" s="60"/>
      <c r="L34" s="51">
        <v>0</v>
      </c>
      <c r="M34" s="61"/>
      <c r="N34" s="78">
        <f t="shared" si="0"/>
        <v>280</v>
      </c>
      <c r="O34" s="62"/>
      <c r="P34" s="51"/>
      <c r="Q34" s="53"/>
      <c r="R34" s="53"/>
      <c r="S34" s="53" t="s">
        <v>232</v>
      </c>
      <c r="T34" s="54" t="s">
        <v>232</v>
      </c>
      <c r="U34" s="70"/>
      <c r="V34" s="63"/>
      <c r="W34" s="72"/>
      <c r="X34" s="71"/>
      <c r="Y34" s="71"/>
    </row>
    <row r="35" spans="2:25" x14ac:dyDescent="0.25">
      <c r="B35" s="50">
        <f t="shared" si="3"/>
        <v>27</v>
      </c>
      <c r="C35" s="56" t="s">
        <v>133</v>
      </c>
      <c r="D35" s="67" t="s">
        <v>134</v>
      </c>
      <c r="E35" s="58">
        <v>180</v>
      </c>
      <c r="F35" s="55">
        <v>2</v>
      </c>
      <c r="G35" s="69" t="s">
        <v>99</v>
      </c>
      <c r="H35" s="103"/>
      <c r="I35" s="104">
        <f t="shared" si="1"/>
        <v>27</v>
      </c>
      <c r="J35" s="56" t="str">
        <f t="shared" si="2"/>
        <v>Production Scale</v>
      </c>
      <c r="K35" s="60"/>
      <c r="L35" s="51">
        <v>0</v>
      </c>
      <c r="M35" s="61"/>
      <c r="N35" s="78">
        <f t="shared" si="0"/>
        <v>360</v>
      </c>
      <c r="O35" s="62"/>
      <c r="P35" s="51" t="s">
        <v>232</v>
      </c>
      <c r="Q35" s="53" t="s">
        <v>232</v>
      </c>
      <c r="R35" s="53" t="s">
        <v>232</v>
      </c>
      <c r="S35" s="53"/>
      <c r="T35" s="54" t="s">
        <v>232</v>
      </c>
      <c r="U35" s="70"/>
      <c r="V35" s="63"/>
      <c r="W35" s="72"/>
      <c r="X35" s="71"/>
      <c r="Y35" s="71"/>
    </row>
    <row r="36" spans="2:25" x14ac:dyDescent="0.25">
      <c r="B36" s="50">
        <f t="shared" si="3"/>
        <v>28</v>
      </c>
      <c r="C36" s="56" t="s">
        <v>75</v>
      </c>
      <c r="D36" s="57"/>
      <c r="E36" s="58">
        <v>970</v>
      </c>
      <c r="F36" s="55">
        <v>1</v>
      </c>
      <c r="G36" s="69" t="s">
        <v>99</v>
      </c>
      <c r="H36" s="103"/>
      <c r="I36" s="104">
        <f t="shared" si="1"/>
        <v>28</v>
      </c>
      <c r="J36" s="56" t="str">
        <f t="shared" si="2"/>
        <v>Wheeled Cart</v>
      </c>
      <c r="K36" s="60"/>
      <c r="L36" s="51">
        <v>0</v>
      </c>
      <c r="M36" s="61"/>
      <c r="N36" s="78">
        <f t="shared" si="0"/>
        <v>970</v>
      </c>
      <c r="O36" s="62"/>
      <c r="P36" s="51" t="s">
        <v>232</v>
      </c>
      <c r="Q36" s="53" t="s">
        <v>232</v>
      </c>
      <c r="R36" s="53" t="s">
        <v>232</v>
      </c>
      <c r="S36" s="53" t="s">
        <v>232</v>
      </c>
      <c r="T36" s="54" t="s">
        <v>232</v>
      </c>
      <c r="U36" s="70"/>
      <c r="V36" s="63"/>
      <c r="W36" s="72"/>
      <c r="X36" s="71"/>
      <c r="Y36" s="71"/>
    </row>
    <row r="37" spans="2:25" x14ac:dyDescent="0.25">
      <c r="B37" s="50">
        <f t="shared" si="3"/>
        <v>29</v>
      </c>
      <c r="C37" s="56" t="s">
        <v>126</v>
      </c>
      <c r="D37" s="67" t="s">
        <v>241</v>
      </c>
      <c r="E37" s="58">
        <v>2000</v>
      </c>
      <c r="F37" s="55">
        <v>3</v>
      </c>
      <c r="G37" s="49" t="s">
        <v>127</v>
      </c>
      <c r="H37" s="103"/>
      <c r="I37" s="104">
        <f t="shared" si="1"/>
        <v>29</v>
      </c>
      <c r="J37" s="56" t="str">
        <f t="shared" si="2"/>
        <v>Fume Hood over steam kettle, 4' x 6'</v>
      </c>
      <c r="K37" s="60">
        <v>1000</v>
      </c>
      <c r="L37" s="51">
        <v>0</v>
      </c>
      <c r="M37" s="69" t="s">
        <v>242</v>
      </c>
      <c r="N37" s="100">
        <f t="shared" si="0"/>
        <v>6000</v>
      </c>
      <c r="O37" s="62"/>
      <c r="P37" s="51" t="s">
        <v>232</v>
      </c>
      <c r="Q37" s="53" t="s">
        <v>232</v>
      </c>
      <c r="R37" s="53"/>
      <c r="S37" s="53" t="s">
        <v>232</v>
      </c>
      <c r="T37" s="54" t="s">
        <v>232</v>
      </c>
      <c r="U37" s="70"/>
      <c r="V37" s="63"/>
      <c r="W37" s="72"/>
      <c r="X37" s="71"/>
      <c r="Y37" s="71"/>
    </row>
    <row r="38" spans="2:25" x14ac:dyDescent="0.25">
      <c r="B38" s="50">
        <f t="shared" si="3"/>
        <v>30</v>
      </c>
      <c r="C38" s="47" t="s">
        <v>84</v>
      </c>
      <c r="D38" s="67" t="s">
        <v>120</v>
      </c>
      <c r="E38" s="58">
        <v>620</v>
      </c>
      <c r="F38" s="55">
        <v>2</v>
      </c>
      <c r="G38" s="59" t="s">
        <v>115</v>
      </c>
      <c r="H38" s="103"/>
      <c r="I38" s="104">
        <f t="shared" si="1"/>
        <v>30</v>
      </c>
      <c r="J38" s="56" t="str">
        <f t="shared" si="2"/>
        <v>3-basin sink</v>
      </c>
      <c r="K38" s="60"/>
      <c r="L38" s="51">
        <v>0</v>
      </c>
      <c r="M38" s="61"/>
      <c r="N38" s="78">
        <f t="shared" si="0"/>
        <v>1240</v>
      </c>
      <c r="O38" s="62"/>
      <c r="P38" s="51" t="s">
        <v>232</v>
      </c>
      <c r="Q38" s="53" t="s">
        <v>232</v>
      </c>
      <c r="R38" s="53" t="s">
        <v>232</v>
      </c>
      <c r="S38" s="53"/>
      <c r="T38" s="54"/>
      <c r="U38" s="70"/>
      <c r="V38" s="63"/>
      <c r="W38" s="72"/>
      <c r="X38" s="71"/>
      <c r="Y38" s="71"/>
    </row>
    <row r="39" spans="2:25" x14ac:dyDescent="0.25">
      <c r="B39" s="50">
        <f t="shared" si="3"/>
        <v>31</v>
      </c>
      <c r="C39" s="56" t="s">
        <v>85</v>
      </c>
      <c r="D39" s="57"/>
      <c r="E39" s="58">
        <v>150</v>
      </c>
      <c r="F39" s="55">
        <v>3</v>
      </c>
      <c r="G39" s="59" t="s">
        <v>123</v>
      </c>
      <c r="H39" s="103"/>
      <c r="I39" s="104">
        <f t="shared" si="1"/>
        <v>31</v>
      </c>
      <c r="J39" s="56" t="str">
        <f t="shared" si="2"/>
        <v>Handwashing Sink</v>
      </c>
      <c r="K39" s="60"/>
      <c r="L39" s="51">
        <v>0</v>
      </c>
      <c r="M39" s="61"/>
      <c r="N39" s="78">
        <f t="shared" si="0"/>
        <v>450</v>
      </c>
      <c r="O39" s="62"/>
      <c r="P39" s="51" t="s">
        <v>232</v>
      </c>
      <c r="Q39" s="53" t="s">
        <v>232</v>
      </c>
      <c r="R39" s="53" t="s">
        <v>232</v>
      </c>
      <c r="S39" s="53" t="s">
        <v>232</v>
      </c>
      <c r="T39" s="54" t="s">
        <v>232</v>
      </c>
      <c r="U39" s="70"/>
      <c r="V39" s="63"/>
      <c r="W39" s="72"/>
      <c r="X39" s="71"/>
      <c r="Y39" s="71"/>
    </row>
    <row r="40" spans="2:25" x14ac:dyDescent="0.25">
      <c r="B40" s="50">
        <f t="shared" ref="B40:B51" si="4">1+B39</f>
        <v>32</v>
      </c>
      <c r="C40" s="56" t="s">
        <v>121</v>
      </c>
      <c r="D40" s="57"/>
      <c r="E40" s="58">
        <v>160</v>
      </c>
      <c r="F40" s="55">
        <v>2</v>
      </c>
      <c r="G40" s="59" t="s">
        <v>115</v>
      </c>
      <c r="H40" s="103"/>
      <c r="I40" s="104">
        <f t="shared" si="1"/>
        <v>32</v>
      </c>
      <c r="J40" s="56" t="str">
        <f t="shared" si="2"/>
        <v>Deck mount faucet</v>
      </c>
      <c r="K40" s="60"/>
      <c r="L40" s="51">
        <v>0</v>
      </c>
      <c r="M40" s="61"/>
      <c r="N40" s="78">
        <f t="shared" si="0"/>
        <v>320</v>
      </c>
      <c r="O40" s="62"/>
      <c r="P40" s="51" t="s">
        <v>232</v>
      </c>
      <c r="Q40" s="53" t="s">
        <v>232</v>
      </c>
      <c r="R40" s="53" t="s">
        <v>232</v>
      </c>
      <c r="S40" s="53" t="s">
        <v>232</v>
      </c>
      <c r="T40" s="54" t="s">
        <v>232</v>
      </c>
      <c r="U40" s="70"/>
      <c r="V40" s="63"/>
      <c r="W40" s="72"/>
      <c r="X40" s="71"/>
      <c r="Y40" s="71"/>
    </row>
    <row r="41" spans="2:25" x14ac:dyDescent="0.25">
      <c r="B41" s="50">
        <f t="shared" si="4"/>
        <v>33</v>
      </c>
      <c r="C41" s="56" t="s">
        <v>122</v>
      </c>
      <c r="D41" s="57" t="s">
        <v>244</v>
      </c>
      <c r="E41" s="58">
        <v>230</v>
      </c>
      <c r="F41" s="55">
        <v>2</v>
      </c>
      <c r="G41" s="59" t="s">
        <v>115</v>
      </c>
      <c r="H41" s="103"/>
      <c r="I41" s="104">
        <f t="shared" si="1"/>
        <v>33</v>
      </c>
      <c r="J41" s="56" t="str">
        <f t="shared" si="2"/>
        <v>Prewash faucet</v>
      </c>
      <c r="K41" s="60"/>
      <c r="L41" s="51">
        <v>0</v>
      </c>
      <c r="M41" s="61"/>
      <c r="N41" s="78">
        <f t="shared" si="0"/>
        <v>460</v>
      </c>
      <c r="O41" s="62"/>
      <c r="P41" s="51" t="s">
        <v>232</v>
      </c>
      <c r="Q41" s="53" t="s">
        <v>232</v>
      </c>
      <c r="R41" s="53" t="s">
        <v>232</v>
      </c>
      <c r="S41" s="53" t="s">
        <v>232</v>
      </c>
      <c r="T41" s="54" t="s">
        <v>232</v>
      </c>
      <c r="U41" s="70"/>
      <c r="V41" s="63"/>
      <c r="W41" s="72"/>
      <c r="X41" s="71"/>
      <c r="Y41" s="71"/>
    </row>
    <row r="42" spans="2:25" x14ac:dyDescent="0.25">
      <c r="B42" s="50">
        <f t="shared" si="4"/>
        <v>34</v>
      </c>
      <c r="C42" s="56" t="s">
        <v>230</v>
      </c>
      <c r="D42" s="67" t="s">
        <v>231</v>
      </c>
      <c r="E42" s="58">
        <v>520</v>
      </c>
      <c r="F42" s="55">
        <v>2</v>
      </c>
      <c r="G42" s="59" t="s">
        <v>115</v>
      </c>
      <c r="H42" s="103"/>
      <c r="I42" s="104">
        <f t="shared" si="1"/>
        <v>34</v>
      </c>
      <c r="J42" s="56" t="str">
        <f t="shared" si="2"/>
        <v>Sanitizer system</v>
      </c>
      <c r="K42" s="60"/>
      <c r="L42" s="51">
        <v>0</v>
      </c>
      <c r="M42" s="61"/>
      <c r="N42" s="78">
        <f t="shared" si="0"/>
        <v>1040</v>
      </c>
      <c r="O42" s="62"/>
      <c r="P42" s="51" t="s">
        <v>232</v>
      </c>
      <c r="Q42" s="53" t="s">
        <v>232</v>
      </c>
      <c r="R42" s="53" t="s">
        <v>232</v>
      </c>
      <c r="S42" s="53" t="s">
        <v>232</v>
      </c>
      <c r="T42" s="54" t="s">
        <v>232</v>
      </c>
      <c r="U42" s="70"/>
      <c r="V42" s="63"/>
      <c r="W42" s="72"/>
      <c r="X42" s="71"/>
      <c r="Y42" s="71"/>
    </row>
    <row r="43" spans="2:25" x14ac:dyDescent="0.25">
      <c r="B43" s="50">
        <f t="shared" si="4"/>
        <v>35</v>
      </c>
      <c r="C43" s="56" t="s">
        <v>234</v>
      </c>
      <c r="D43" s="67" t="s">
        <v>235</v>
      </c>
      <c r="E43" s="58">
        <v>300</v>
      </c>
      <c r="F43" s="55">
        <v>2</v>
      </c>
      <c r="G43" s="59"/>
      <c r="H43" s="103"/>
      <c r="I43" s="104">
        <f t="shared" si="1"/>
        <v>35</v>
      </c>
      <c r="J43" s="56" t="str">
        <f t="shared" si="2"/>
        <v>Custom made packing table tops</v>
      </c>
      <c r="K43" s="60"/>
      <c r="L43" s="51">
        <v>0</v>
      </c>
      <c r="M43" s="61"/>
      <c r="N43" s="78">
        <f t="shared" si="0"/>
        <v>600</v>
      </c>
      <c r="O43" s="62"/>
      <c r="P43" s="51" t="s">
        <v>232</v>
      </c>
      <c r="Q43" s="53" t="s">
        <v>232</v>
      </c>
      <c r="R43" s="53" t="s">
        <v>232</v>
      </c>
      <c r="S43" s="53" t="s">
        <v>232</v>
      </c>
      <c r="T43" s="54" t="s">
        <v>232</v>
      </c>
      <c r="U43" s="70"/>
      <c r="V43" s="63"/>
      <c r="W43" s="72"/>
      <c r="X43" s="71"/>
      <c r="Y43" s="71"/>
    </row>
    <row r="44" spans="2:25" x14ac:dyDescent="0.25">
      <c r="B44" s="50">
        <f t="shared" si="4"/>
        <v>36</v>
      </c>
      <c r="C44" s="56" t="s">
        <v>239</v>
      </c>
      <c r="D44" s="67"/>
      <c r="E44" s="58">
        <v>3000</v>
      </c>
      <c r="F44" s="55">
        <v>1</v>
      </c>
      <c r="G44" s="59"/>
      <c r="H44" s="103"/>
      <c r="I44" s="104">
        <f t="shared" si="1"/>
        <v>36</v>
      </c>
      <c r="J44" s="56" t="str">
        <f t="shared" si="2"/>
        <v>Misc Equipment</v>
      </c>
      <c r="K44" s="60"/>
      <c r="L44" s="51">
        <v>0</v>
      </c>
      <c r="M44" s="61"/>
      <c r="N44" s="78">
        <f t="shared" si="0"/>
        <v>3000</v>
      </c>
      <c r="O44" s="62"/>
      <c r="P44" s="51" t="s">
        <v>232</v>
      </c>
      <c r="Q44" s="53" t="s">
        <v>232</v>
      </c>
      <c r="R44" s="53" t="s">
        <v>232</v>
      </c>
      <c r="S44" s="53" t="s">
        <v>232</v>
      </c>
      <c r="T44" s="54" t="s">
        <v>232</v>
      </c>
      <c r="U44" s="70"/>
      <c r="V44" s="63"/>
      <c r="W44" s="72"/>
      <c r="X44" s="71"/>
      <c r="Y44" s="71"/>
    </row>
    <row r="45" spans="2:25" x14ac:dyDescent="0.25">
      <c r="B45" s="50">
        <f t="shared" si="4"/>
        <v>37</v>
      </c>
      <c r="C45" s="56" t="s">
        <v>290</v>
      </c>
      <c r="D45" s="67" t="s">
        <v>291</v>
      </c>
      <c r="E45" s="58">
        <v>14900</v>
      </c>
      <c r="F45" s="55">
        <v>1</v>
      </c>
      <c r="G45" s="59" t="s">
        <v>115</v>
      </c>
      <c r="H45" s="103"/>
      <c r="I45" s="104">
        <f t="shared" si="1"/>
        <v>37</v>
      </c>
      <c r="J45" s="56" t="str">
        <f t="shared" si="2"/>
        <v>40 gallon tilt skillet</v>
      </c>
      <c r="K45" s="60"/>
      <c r="L45" s="51">
        <v>0</v>
      </c>
      <c r="M45" s="61"/>
      <c r="N45" s="78">
        <f t="shared" si="0"/>
        <v>14900</v>
      </c>
      <c r="O45" s="62"/>
      <c r="P45" s="51"/>
      <c r="Q45" s="53"/>
      <c r="R45" s="53" t="s">
        <v>232</v>
      </c>
      <c r="S45" s="53" t="s">
        <v>232</v>
      </c>
      <c r="T45" s="54" t="s">
        <v>232</v>
      </c>
      <c r="U45" s="70">
        <v>86.5</v>
      </c>
      <c r="V45" s="63" t="s">
        <v>108</v>
      </c>
      <c r="W45" s="72" t="s">
        <v>292</v>
      </c>
      <c r="X45" s="71"/>
      <c r="Y45" s="71"/>
    </row>
    <row r="46" spans="2:25" x14ac:dyDescent="0.25">
      <c r="B46" s="50">
        <f t="shared" si="4"/>
        <v>38</v>
      </c>
      <c r="C46" s="56" t="s">
        <v>452</v>
      </c>
      <c r="D46" s="67"/>
      <c r="E46" s="58">
        <v>15000</v>
      </c>
      <c r="F46" s="55">
        <v>1</v>
      </c>
      <c r="G46" s="59"/>
      <c r="H46" s="103"/>
      <c r="I46" s="104">
        <f t="shared" si="1"/>
        <v>38</v>
      </c>
      <c r="J46" s="56" t="str">
        <f t="shared" si="2"/>
        <v>Dish Washer, high Temperature</v>
      </c>
      <c r="K46" s="60"/>
      <c r="L46" s="51">
        <v>0</v>
      </c>
      <c r="M46" s="61"/>
      <c r="N46" s="78">
        <f t="shared" si="0"/>
        <v>15000</v>
      </c>
      <c r="O46" s="62"/>
      <c r="P46" s="51"/>
      <c r="Q46" s="53"/>
      <c r="R46" s="53"/>
      <c r="S46" s="53"/>
      <c r="T46" s="54"/>
      <c r="U46" s="70"/>
      <c r="V46" s="63"/>
      <c r="W46" s="72"/>
      <c r="X46" s="71"/>
      <c r="Y46" s="71"/>
    </row>
    <row r="47" spans="2:25" x14ac:dyDescent="0.25">
      <c r="B47" s="50">
        <f t="shared" si="4"/>
        <v>39</v>
      </c>
      <c r="C47" s="56" t="s">
        <v>628</v>
      </c>
      <c r="D47" s="67"/>
      <c r="E47" s="58">
        <v>6000</v>
      </c>
      <c r="F47" s="55">
        <v>1</v>
      </c>
      <c r="G47" s="59"/>
      <c r="H47" s="103"/>
      <c r="I47" s="104">
        <f t="shared" si="1"/>
        <v>39</v>
      </c>
      <c r="J47" s="56" t="str">
        <f t="shared" si="2"/>
        <v>Commercial range</v>
      </c>
      <c r="K47" s="60"/>
      <c r="L47" s="51">
        <v>0</v>
      </c>
      <c r="M47" s="61"/>
      <c r="N47" s="78">
        <f t="shared" si="0"/>
        <v>6000</v>
      </c>
      <c r="O47" s="62"/>
      <c r="P47" s="51"/>
      <c r="Q47" s="53"/>
      <c r="R47" s="53"/>
      <c r="S47" s="53"/>
      <c r="T47" s="54"/>
      <c r="U47" s="70"/>
      <c r="V47" s="63"/>
      <c r="W47" s="72"/>
      <c r="X47" s="71"/>
      <c r="Y47" s="71"/>
    </row>
    <row r="48" spans="2:25" x14ac:dyDescent="0.25">
      <c r="B48" s="50">
        <f t="shared" si="4"/>
        <v>40</v>
      </c>
      <c r="C48" s="56" t="s">
        <v>629</v>
      </c>
      <c r="D48" s="67"/>
      <c r="E48" s="58">
        <v>3000</v>
      </c>
      <c r="F48" s="55">
        <v>1</v>
      </c>
      <c r="G48" s="59"/>
      <c r="H48" s="103"/>
      <c r="I48" s="104">
        <f t="shared" si="1"/>
        <v>40</v>
      </c>
      <c r="J48" s="56" t="str">
        <f t="shared" si="2"/>
        <v>Hand Truck</v>
      </c>
      <c r="K48" s="60"/>
      <c r="L48" s="51">
        <v>0</v>
      </c>
      <c r="M48" s="61"/>
      <c r="N48" s="78">
        <f t="shared" si="0"/>
        <v>3000</v>
      </c>
      <c r="O48" s="62"/>
      <c r="P48" s="51" t="s">
        <v>232</v>
      </c>
      <c r="Q48" s="53" t="s">
        <v>232</v>
      </c>
      <c r="R48" s="53" t="s">
        <v>232</v>
      </c>
      <c r="S48" s="53" t="s">
        <v>232</v>
      </c>
      <c r="T48" s="54" t="s">
        <v>232</v>
      </c>
      <c r="U48" s="70"/>
      <c r="V48" s="63"/>
      <c r="W48" s="72"/>
      <c r="X48" s="71"/>
      <c r="Y48" s="71"/>
    </row>
    <row r="49" spans="2:25" x14ac:dyDescent="0.25">
      <c r="B49" s="50">
        <f t="shared" si="4"/>
        <v>41</v>
      </c>
      <c r="C49" s="56" t="s">
        <v>630</v>
      </c>
      <c r="D49" s="67"/>
      <c r="E49" s="58">
        <v>1000</v>
      </c>
      <c r="F49" s="55">
        <v>1</v>
      </c>
      <c r="G49" s="59"/>
      <c r="H49" s="103"/>
      <c r="I49" s="104">
        <f t="shared" si="1"/>
        <v>41</v>
      </c>
      <c r="J49" s="56" t="str">
        <f t="shared" si="2"/>
        <v>Label Printer</v>
      </c>
      <c r="K49" s="60"/>
      <c r="L49" s="51">
        <v>0</v>
      </c>
      <c r="M49" s="61"/>
      <c r="N49" s="78">
        <f t="shared" si="0"/>
        <v>1000</v>
      </c>
      <c r="O49" s="62"/>
      <c r="P49" s="51" t="s">
        <v>232</v>
      </c>
      <c r="Q49" s="53" t="s">
        <v>232</v>
      </c>
      <c r="R49" s="53" t="s">
        <v>232</v>
      </c>
      <c r="S49" s="53" t="s">
        <v>232</v>
      </c>
      <c r="T49" s="54" t="s">
        <v>232</v>
      </c>
      <c r="U49" s="70"/>
      <c r="V49" s="63"/>
      <c r="W49" s="72"/>
      <c r="X49" s="71"/>
      <c r="Y49" s="71"/>
    </row>
    <row r="50" spans="2:25" x14ac:dyDescent="0.25">
      <c r="B50" s="50">
        <f t="shared" si="4"/>
        <v>42</v>
      </c>
      <c r="C50" s="56" t="s">
        <v>748</v>
      </c>
      <c r="D50" s="67"/>
      <c r="E50" s="58">
        <v>500</v>
      </c>
      <c r="F50" s="55">
        <v>1</v>
      </c>
      <c r="G50" s="59"/>
      <c r="H50" s="103"/>
      <c r="I50" s="104">
        <f t="shared" si="1"/>
        <v>42</v>
      </c>
      <c r="J50" s="56" t="str">
        <f t="shared" si="2"/>
        <v>Label Applier</v>
      </c>
      <c r="K50" s="60"/>
      <c r="L50" s="51">
        <v>0</v>
      </c>
      <c r="M50" s="61"/>
      <c r="N50" s="78">
        <f t="shared" si="0"/>
        <v>500</v>
      </c>
      <c r="O50" s="62"/>
      <c r="P50" s="51" t="s">
        <v>232</v>
      </c>
      <c r="Q50" s="53" t="s">
        <v>232</v>
      </c>
      <c r="R50" s="53" t="s">
        <v>232</v>
      </c>
      <c r="S50" s="53" t="s">
        <v>232</v>
      </c>
      <c r="T50" s="54" t="s">
        <v>232</v>
      </c>
      <c r="U50" s="70"/>
      <c r="V50" s="63"/>
      <c r="W50" s="72"/>
      <c r="X50" s="71"/>
      <c r="Y50" s="71"/>
    </row>
    <row r="51" spans="2:25" x14ac:dyDescent="0.25">
      <c r="B51" s="50">
        <f t="shared" si="4"/>
        <v>43</v>
      </c>
      <c r="C51" s="56"/>
      <c r="D51" s="67"/>
      <c r="E51" s="58"/>
      <c r="F51" s="55"/>
      <c r="G51" s="59"/>
      <c r="H51" s="103"/>
      <c r="I51" s="104">
        <f t="shared" si="1"/>
        <v>43</v>
      </c>
      <c r="J51" s="56">
        <f t="shared" si="2"/>
        <v>0</v>
      </c>
      <c r="K51" s="60"/>
      <c r="L51" s="51">
        <v>0</v>
      </c>
      <c r="M51" s="61"/>
      <c r="N51" s="78">
        <f t="shared" si="0"/>
        <v>0</v>
      </c>
      <c r="O51" s="62"/>
      <c r="P51" s="51" t="s">
        <v>232</v>
      </c>
      <c r="Q51" s="53" t="s">
        <v>232</v>
      </c>
      <c r="R51" s="53" t="s">
        <v>232</v>
      </c>
      <c r="S51" s="53" t="s">
        <v>232</v>
      </c>
      <c r="T51" s="54" t="s">
        <v>232</v>
      </c>
      <c r="U51" s="70"/>
      <c r="V51" s="63"/>
      <c r="W51" s="72"/>
      <c r="X51" s="71"/>
      <c r="Y51" s="71"/>
    </row>
  </sheetData>
  <mergeCells count="11">
    <mergeCell ref="U7:Y7"/>
    <mergeCell ref="P5:P8"/>
    <mergeCell ref="Q5:Q8"/>
    <mergeCell ref="R5:R8"/>
    <mergeCell ref="S5:S8"/>
    <mergeCell ref="P1:T1"/>
    <mergeCell ref="C1:D1"/>
    <mergeCell ref="E7:G7"/>
    <mergeCell ref="I7:M7"/>
    <mergeCell ref="T5:T8"/>
    <mergeCell ref="P4:T4"/>
  </mergeCells>
  <dataValidations count="2">
    <dataValidation type="list" allowBlank="1" showInputMessage="1" showErrorMessage="1" sqref="P9:R18 S9:T51 P20:R51">
      <formula1>"X,x"</formula1>
    </dataValidation>
    <dataValidation type="list" allowBlank="1" showInputMessage="1" showErrorMessage="1" sqref="V9:V51">
      <formula1>EquipmentVoltage</formula1>
    </dataValidation>
  </dataValidations>
  <hyperlinks>
    <hyperlink ref="D12" r:id="rId1"/>
    <hyperlink ref="D11" r:id="rId2"/>
    <hyperlink ref="D13" r:id="rId3"/>
    <hyperlink ref="D14" r:id="rId4"/>
    <hyperlink ref="D15" r:id="rId5"/>
    <hyperlink ref="D16" r:id="rId6"/>
    <hyperlink ref="D21" r:id="rId7"/>
    <hyperlink ref="D22" r:id="rId8"/>
    <hyperlink ref="D23" r:id="rId9"/>
    <hyperlink ref="D24" r:id="rId10"/>
    <hyperlink ref="D25" r:id="rId11"/>
    <hyperlink ref="D26" r:id="rId12"/>
    <hyperlink ref="D27" r:id="rId13"/>
    <hyperlink ref="D28" r:id="rId14"/>
    <hyperlink ref="D29" r:id="rId15"/>
    <hyperlink ref="D30" r:id="rId16"/>
    <hyperlink ref="M30" r:id="rId17"/>
    <hyperlink ref="G31" r:id="rId18"/>
    <hyperlink ref="D32" r:id="rId19"/>
    <hyperlink ref="M32" r:id="rId20"/>
    <hyperlink ref="G33" r:id="rId21"/>
    <hyperlink ref="G35" r:id="rId22"/>
    <hyperlink ref="G36" r:id="rId23"/>
    <hyperlink ref="D34" r:id="rId24"/>
    <hyperlink ref="D35" r:id="rId25"/>
    <hyperlink ref="D37" r:id="rId26"/>
    <hyperlink ref="D38" r:id="rId27"/>
    <hyperlink ref="M37" r:id="rId28" location="6548 Commercial NSF ETL _ eBay.pdf"/>
    <hyperlink ref="D42" r:id="rId29"/>
    <hyperlink ref="D43" r:id="rId30"/>
    <hyperlink ref="D20" r:id="rId31"/>
    <hyperlink ref="D45" r:id="rId32"/>
  </hyperlinks>
  <pageMargins left="0.4" right="0.4" top="0.75" bottom="0.25" header="0.3" footer="0.3"/>
  <pageSetup orientation="landscape" r:id="rId33"/>
  <legacyDrawing r:id="rId3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7"/>
  <sheetViews>
    <sheetView workbookViewId="0">
      <selection activeCell="S23" sqref="S23"/>
    </sheetView>
  </sheetViews>
  <sheetFormatPr defaultRowHeight="14.5" x14ac:dyDescent="0.35"/>
  <cols>
    <col min="4" max="4" width="36.1796875" bestFit="1" customWidth="1"/>
  </cols>
  <sheetData>
    <row r="1" spans="1:17" x14ac:dyDescent="0.35">
      <c r="A1" s="49"/>
      <c r="B1" s="49"/>
      <c r="C1" s="602" t="s">
        <v>144</v>
      </c>
      <c r="D1" s="602"/>
      <c r="E1" s="602"/>
      <c r="F1" s="602" t="s">
        <v>145</v>
      </c>
      <c r="G1" s="602"/>
      <c r="H1" s="602"/>
      <c r="I1" s="606" t="s">
        <v>146</v>
      </c>
      <c r="J1" s="602"/>
      <c r="K1" s="604"/>
      <c r="L1" s="602" t="s">
        <v>147</v>
      </c>
      <c r="M1" s="602"/>
      <c r="N1" s="602"/>
      <c r="O1" s="602" t="s">
        <v>148</v>
      </c>
      <c r="P1" s="602"/>
      <c r="Q1" s="602"/>
    </row>
    <row r="2" spans="1:17" x14ac:dyDescent="0.35">
      <c r="A2" s="79" t="s">
        <v>149</v>
      </c>
      <c r="B2" s="79" t="s">
        <v>150</v>
      </c>
      <c r="C2" s="51" t="s">
        <v>151</v>
      </c>
      <c r="D2" s="53" t="s">
        <v>152</v>
      </c>
      <c r="E2" s="80" t="s">
        <v>153</v>
      </c>
      <c r="F2" s="51" t="s">
        <v>151</v>
      </c>
      <c r="G2" s="53" t="s">
        <v>152</v>
      </c>
      <c r="H2" s="54" t="s">
        <v>153</v>
      </c>
      <c r="I2" s="52" t="s">
        <v>151</v>
      </c>
      <c r="J2" s="53" t="s">
        <v>152</v>
      </c>
      <c r="K2" s="63" t="s">
        <v>153</v>
      </c>
      <c r="L2" s="51" t="s">
        <v>151</v>
      </c>
      <c r="M2" s="53" t="s">
        <v>152</v>
      </c>
      <c r="N2" s="54" t="s">
        <v>153</v>
      </c>
      <c r="O2" s="51" t="s">
        <v>151</v>
      </c>
      <c r="P2" s="53" t="s">
        <v>152</v>
      </c>
      <c r="Q2" s="54" t="s">
        <v>153</v>
      </c>
    </row>
    <row r="3" spans="1:17" x14ac:dyDescent="0.35">
      <c r="A3" s="81" t="s">
        <v>154</v>
      </c>
      <c r="B3" s="81"/>
      <c r="C3" s="56"/>
      <c r="D3" s="47"/>
      <c r="E3" s="82"/>
      <c r="F3" s="56"/>
      <c r="G3" s="47"/>
      <c r="H3" s="61"/>
      <c r="I3" s="57"/>
      <c r="J3" s="47"/>
      <c r="K3" s="59"/>
      <c r="L3" s="56"/>
      <c r="M3" s="47"/>
      <c r="N3" s="61"/>
      <c r="O3" s="56"/>
      <c r="P3" s="47"/>
      <c r="Q3" s="61"/>
    </row>
    <row r="4" spans="1:17" x14ac:dyDescent="0.35">
      <c r="A4" s="81"/>
      <c r="B4" s="81"/>
      <c r="C4" s="56"/>
      <c r="D4" s="47" t="s">
        <v>83</v>
      </c>
      <c r="E4" s="82"/>
      <c r="F4" s="56"/>
      <c r="G4" s="47"/>
      <c r="H4" s="61"/>
      <c r="I4" s="57"/>
      <c r="J4" s="47"/>
      <c r="K4" s="59"/>
      <c r="L4" s="56"/>
      <c r="M4" s="47"/>
      <c r="N4" s="61"/>
      <c r="O4" s="56"/>
      <c r="P4" s="47"/>
      <c r="Q4" s="61"/>
    </row>
    <row r="5" spans="1:17" x14ac:dyDescent="0.35">
      <c r="A5" s="81"/>
      <c r="B5" s="81"/>
      <c r="C5" s="56"/>
      <c r="D5" s="47" t="s">
        <v>155</v>
      </c>
      <c r="E5" s="82"/>
      <c r="F5" s="56"/>
      <c r="G5" s="47"/>
      <c r="H5" s="61"/>
      <c r="I5" s="57"/>
      <c r="J5" s="47"/>
      <c r="K5" s="59"/>
      <c r="L5" s="56"/>
      <c r="M5" s="47"/>
      <c r="N5" s="61"/>
      <c r="O5" s="56"/>
      <c r="P5" s="47"/>
      <c r="Q5" s="61"/>
    </row>
    <row r="6" spans="1:17" x14ac:dyDescent="0.35">
      <c r="A6" s="81"/>
      <c r="B6" s="81"/>
      <c r="C6" s="56"/>
      <c r="D6" s="47" t="s">
        <v>156</v>
      </c>
      <c r="E6" s="82"/>
      <c r="F6" s="56"/>
      <c r="G6" s="47"/>
      <c r="H6" s="61"/>
      <c r="I6" s="57"/>
      <c r="J6" s="47"/>
      <c r="K6" s="59"/>
      <c r="L6" s="56"/>
      <c r="M6" s="47"/>
      <c r="N6" s="61"/>
      <c r="O6" s="56"/>
      <c r="P6" s="47"/>
      <c r="Q6" s="61"/>
    </row>
    <row r="7" spans="1:17" x14ac:dyDescent="0.35">
      <c r="A7" s="81"/>
      <c r="B7" s="81"/>
      <c r="C7" s="56"/>
      <c r="D7" s="47" t="s">
        <v>157</v>
      </c>
      <c r="E7" s="82"/>
      <c r="F7" s="56"/>
      <c r="G7" s="47"/>
      <c r="H7" s="61"/>
      <c r="I7" s="57"/>
      <c r="J7" s="47"/>
      <c r="K7" s="59"/>
      <c r="L7" s="56"/>
      <c r="M7" s="47"/>
      <c r="N7" s="61"/>
      <c r="O7" s="56"/>
      <c r="P7" s="47"/>
      <c r="Q7" s="61"/>
    </row>
    <row r="8" spans="1:17" x14ac:dyDescent="0.35">
      <c r="A8" s="81"/>
      <c r="B8" s="81"/>
      <c r="C8" s="56"/>
      <c r="D8" s="47" t="s">
        <v>158</v>
      </c>
      <c r="E8" s="82"/>
      <c r="F8" s="56"/>
      <c r="G8" s="47"/>
      <c r="H8" s="61"/>
      <c r="I8" s="57"/>
      <c r="J8" s="47"/>
      <c r="K8" s="59"/>
      <c r="L8" s="56"/>
      <c r="M8" s="47"/>
      <c r="N8" s="61"/>
      <c r="O8" s="56"/>
      <c r="P8" s="47"/>
      <c r="Q8" s="61"/>
    </row>
    <row r="9" spans="1:17" x14ac:dyDescent="0.35">
      <c r="A9" s="81"/>
      <c r="B9" s="81"/>
      <c r="C9" s="56"/>
      <c r="D9" s="47" t="s">
        <v>87</v>
      </c>
      <c r="E9" s="82"/>
      <c r="F9" s="56"/>
      <c r="G9" s="47"/>
      <c r="H9" s="61"/>
      <c r="I9" s="57"/>
      <c r="J9" s="47"/>
      <c r="K9" s="59"/>
      <c r="L9" s="56"/>
      <c r="M9" s="47"/>
      <c r="N9" s="61"/>
      <c r="O9" s="56"/>
      <c r="P9" s="47"/>
      <c r="Q9" s="61"/>
    </row>
    <row r="10" spans="1:17" x14ac:dyDescent="0.35">
      <c r="A10" s="81"/>
      <c r="B10" s="81"/>
      <c r="C10" s="56"/>
      <c r="D10" s="47" t="s">
        <v>159</v>
      </c>
      <c r="E10" s="82"/>
      <c r="F10" s="56"/>
      <c r="G10" s="47"/>
      <c r="H10" s="61"/>
      <c r="I10" s="57"/>
      <c r="J10" s="47"/>
      <c r="K10" s="59"/>
      <c r="L10" s="56"/>
      <c r="M10" s="47"/>
      <c r="N10" s="61"/>
      <c r="O10" s="56"/>
      <c r="P10" s="47"/>
      <c r="Q10" s="61"/>
    </row>
    <row r="11" spans="1:17" x14ac:dyDescent="0.35">
      <c r="A11" s="81"/>
      <c r="B11" s="81"/>
      <c r="C11" s="56"/>
      <c r="D11" s="47" t="s">
        <v>160</v>
      </c>
      <c r="E11" s="82"/>
      <c r="F11" s="56"/>
      <c r="G11" s="47"/>
      <c r="H11" s="61"/>
      <c r="I11" s="57"/>
      <c r="J11" s="47"/>
      <c r="K11" s="59"/>
      <c r="L11" s="56"/>
      <c r="M11" s="47"/>
      <c r="N11" s="61"/>
      <c r="O11" s="56"/>
      <c r="P11" s="47"/>
      <c r="Q11" s="61"/>
    </row>
    <row r="12" spans="1:17" x14ac:dyDescent="0.35">
      <c r="A12" s="81"/>
      <c r="B12" s="81"/>
      <c r="C12" s="56"/>
      <c r="D12" s="47" t="s">
        <v>161</v>
      </c>
      <c r="E12" s="82"/>
      <c r="F12" s="56"/>
      <c r="G12" s="47"/>
      <c r="H12" s="61"/>
      <c r="I12" s="57"/>
      <c r="J12" s="47"/>
      <c r="K12" s="59"/>
      <c r="L12" s="56"/>
      <c r="M12" s="47"/>
      <c r="N12" s="61"/>
      <c r="O12" s="56"/>
      <c r="P12" s="47"/>
      <c r="Q12" s="61"/>
    </row>
    <row r="13" spans="1:17" x14ac:dyDescent="0.35">
      <c r="A13" s="81"/>
      <c r="B13" s="81"/>
      <c r="C13" s="56"/>
      <c r="D13" s="47" t="s">
        <v>162</v>
      </c>
      <c r="E13" s="82"/>
      <c r="F13" s="56"/>
      <c r="G13" s="47"/>
      <c r="H13" s="61"/>
      <c r="I13" s="57"/>
      <c r="J13" s="47"/>
      <c r="K13" s="59"/>
      <c r="L13" s="56"/>
      <c r="M13" s="47"/>
      <c r="N13" s="61"/>
      <c r="O13" s="56"/>
      <c r="P13" s="47"/>
      <c r="Q13" s="61"/>
    </row>
    <row r="14" spans="1:17" x14ac:dyDescent="0.35">
      <c r="A14" s="81"/>
      <c r="B14" s="81"/>
      <c r="C14" s="56"/>
      <c r="D14" s="47" t="s">
        <v>163</v>
      </c>
      <c r="E14" s="82"/>
      <c r="F14" s="56"/>
      <c r="G14" s="47"/>
      <c r="H14" s="61"/>
      <c r="I14" s="57"/>
      <c r="J14" s="47"/>
      <c r="K14" s="59"/>
      <c r="L14" s="56"/>
      <c r="M14" s="47"/>
      <c r="N14" s="61"/>
      <c r="O14" s="56"/>
      <c r="P14" s="47"/>
      <c r="Q14" s="61"/>
    </row>
    <row r="15" spans="1:17" x14ac:dyDescent="0.35">
      <c r="A15" s="81"/>
      <c r="B15" s="81"/>
      <c r="C15" s="56"/>
      <c r="D15" s="47" t="s">
        <v>164</v>
      </c>
      <c r="E15" s="82"/>
      <c r="F15" s="56"/>
      <c r="G15" s="47"/>
      <c r="H15" s="61"/>
      <c r="I15" s="57"/>
      <c r="J15" s="47"/>
      <c r="K15" s="59"/>
      <c r="L15" s="56"/>
      <c r="M15" s="47"/>
      <c r="N15" s="61"/>
      <c r="O15" s="56"/>
      <c r="P15" s="47"/>
      <c r="Q15" s="61"/>
    </row>
    <row r="16" spans="1:17" x14ac:dyDescent="0.35">
      <c r="A16" s="81"/>
      <c r="B16" s="81"/>
      <c r="C16" s="56"/>
      <c r="D16" s="47" t="s">
        <v>165</v>
      </c>
      <c r="E16" s="82"/>
      <c r="F16" s="56"/>
      <c r="G16" s="47"/>
      <c r="H16" s="61"/>
      <c r="I16" s="57"/>
      <c r="J16" s="47"/>
      <c r="K16" s="59"/>
      <c r="L16" s="56"/>
      <c r="M16" s="47"/>
      <c r="N16" s="61"/>
      <c r="O16" s="56"/>
      <c r="P16" s="47"/>
      <c r="Q16" s="61"/>
    </row>
    <row r="17" spans="1:17" x14ac:dyDescent="0.35">
      <c r="A17" s="81"/>
      <c r="B17" s="81"/>
      <c r="C17" s="56"/>
      <c r="D17" s="47" t="s">
        <v>166</v>
      </c>
      <c r="E17" s="82"/>
      <c r="F17" s="56"/>
      <c r="G17" s="47"/>
      <c r="H17" s="61"/>
      <c r="I17" s="57"/>
      <c r="J17" s="47"/>
      <c r="K17" s="59"/>
      <c r="L17" s="56"/>
      <c r="M17" s="47"/>
      <c r="N17" s="61"/>
      <c r="O17" s="56"/>
      <c r="P17" s="47"/>
      <c r="Q17" s="61"/>
    </row>
    <row r="18" spans="1:17" x14ac:dyDescent="0.35">
      <c r="A18" s="81"/>
      <c r="B18" s="81"/>
      <c r="C18" s="56"/>
      <c r="D18" s="47" t="s">
        <v>167</v>
      </c>
      <c r="E18" s="82"/>
      <c r="F18" s="56"/>
      <c r="G18" s="47"/>
      <c r="H18" s="61"/>
      <c r="I18" s="57"/>
      <c r="J18" s="47"/>
      <c r="K18" s="59"/>
      <c r="L18" s="56"/>
      <c r="M18" s="47"/>
      <c r="N18" s="61"/>
      <c r="O18" s="56"/>
      <c r="P18" s="47"/>
      <c r="Q18" s="61"/>
    </row>
    <row r="19" spans="1:17" x14ac:dyDescent="0.35">
      <c r="A19" s="81"/>
      <c r="B19" s="81"/>
      <c r="C19" s="56"/>
      <c r="D19" s="47" t="s">
        <v>168</v>
      </c>
      <c r="E19" s="82"/>
      <c r="F19" s="56"/>
      <c r="G19" s="47"/>
      <c r="H19" s="61"/>
      <c r="I19" s="57"/>
      <c r="J19" s="47"/>
      <c r="K19" s="59"/>
      <c r="L19" s="56"/>
      <c r="M19" s="47"/>
      <c r="N19" s="61"/>
      <c r="O19" s="56"/>
      <c r="P19" s="47"/>
      <c r="Q19" s="61"/>
    </row>
    <row r="20" spans="1:17" x14ac:dyDescent="0.35">
      <c r="A20" s="81"/>
      <c r="B20" s="81"/>
      <c r="C20" s="56"/>
      <c r="D20" s="47" t="s">
        <v>169</v>
      </c>
      <c r="E20" s="82"/>
      <c r="F20" s="56"/>
      <c r="G20" s="47"/>
      <c r="H20" s="61"/>
      <c r="I20" s="57"/>
      <c r="J20" s="47"/>
      <c r="K20" s="59"/>
      <c r="L20" s="56"/>
      <c r="M20" s="47"/>
      <c r="N20" s="61"/>
      <c r="O20" s="56"/>
      <c r="P20" s="47"/>
      <c r="Q20" s="61"/>
    </row>
    <row r="21" spans="1:17" x14ac:dyDescent="0.35">
      <c r="A21" s="81"/>
      <c r="B21" s="81"/>
      <c r="C21" s="56"/>
      <c r="D21" s="83" t="s">
        <v>170</v>
      </c>
      <c r="E21" s="82"/>
      <c r="F21" s="56"/>
      <c r="G21" s="47"/>
      <c r="H21" s="61"/>
      <c r="I21" s="57"/>
      <c r="J21" s="47"/>
      <c r="K21" s="59"/>
      <c r="L21" s="56"/>
      <c r="M21" s="47"/>
      <c r="N21" s="61"/>
      <c r="O21" s="56"/>
      <c r="P21" s="47"/>
      <c r="Q21" s="61"/>
    </row>
    <row r="22" spans="1:17" x14ac:dyDescent="0.35">
      <c r="A22" s="81"/>
      <c r="B22" s="81"/>
      <c r="C22" s="56"/>
      <c r="D22" s="47" t="s">
        <v>171</v>
      </c>
      <c r="E22" s="82"/>
      <c r="F22" s="56"/>
      <c r="G22" s="47"/>
      <c r="H22" s="61"/>
      <c r="I22" s="57"/>
      <c r="J22" s="47"/>
      <c r="K22" s="59"/>
      <c r="L22" s="56"/>
      <c r="M22" s="47"/>
      <c r="N22" s="61"/>
      <c r="O22" s="56"/>
      <c r="P22" s="47"/>
      <c r="Q22" s="61"/>
    </row>
    <row r="23" spans="1:17" x14ac:dyDescent="0.35">
      <c r="A23" s="81"/>
      <c r="B23" s="81"/>
      <c r="C23" s="56"/>
      <c r="D23" s="47" t="s">
        <v>172</v>
      </c>
      <c r="E23" s="82"/>
      <c r="F23" s="56"/>
      <c r="G23" s="47"/>
      <c r="H23" s="61"/>
      <c r="I23" s="57"/>
      <c r="J23" s="47"/>
      <c r="K23" s="59"/>
      <c r="L23" s="56"/>
      <c r="M23" s="47"/>
      <c r="N23" s="61"/>
      <c r="O23" s="56"/>
      <c r="P23" s="47"/>
      <c r="Q23" s="61"/>
    </row>
    <row r="24" spans="1:17" x14ac:dyDescent="0.35">
      <c r="A24" s="81"/>
      <c r="B24" s="81"/>
      <c r="C24" s="56"/>
      <c r="D24" s="47" t="s">
        <v>81</v>
      </c>
      <c r="E24" s="82">
        <v>2000</v>
      </c>
      <c r="F24" s="56"/>
      <c r="G24" s="47"/>
      <c r="H24" s="61"/>
      <c r="I24" s="57"/>
      <c r="J24" s="47"/>
      <c r="K24" s="59"/>
      <c r="L24" s="56"/>
      <c r="M24" s="47"/>
      <c r="N24" s="61"/>
      <c r="O24" s="56"/>
      <c r="P24" s="47"/>
      <c r="Q24" s="61"/>
    </row>
    <row r="25" spans="1:17" x14ac:dyDescent="0.35">
      <c r="A25" s="81"/>
      <c r="B25" s="81"/>
      <c r="C25" s="56"/>
      <c r="D25" s="47" t="s">
        <v>173</v>
      </c>
      <c r="E25" s="82"/>
      <c r="F25" s="56"/>
      <c r="G25" s="47"/>
      <c r="H25" s="61"/>
      <c r="I25" s="57"/>
      <c r="J25" s="47"/>
      <c r="K25" s="59"/>
      <c r="L25" s="56"/>
      <c r="M25" s="47"/>
      <c r="N25" s="61"/>
      <c r="O25" s="56"/>
      <c r="P25" s="47"/>
      <c r="Q25" s="61"/>
    </row>
    <row r="26" spans="1:17" x14ac:dyDescent="0.35">
      <c r="A26" s="81"/>
      <c r="B26" s="81"/>
      <c r="C26" s="56"/>
      <c r="D26" s="47" t="s">
        <v>174</v>
      </c>
      <c r="E26" s="82"/>
      <c r="F26" s="56"/>
      <c r="G26" s="47"/>
      <c r="H26" s="61"/>
      <c r="I26" s="57"/>
      <c r="J26" s="47"/>
      <c r="K26" s="59"/>
      <c r="L26" s="56"/>
      <c r="M26" s="47"/>
      <c r="N26" s="61"/>
      <c r="O26" s="56"/>
      <c r="P26" s="47"/>
      <c r="Q26" s="61"/>
    </row>
    <row r="27" spans="1:17" x14ac:dyDescent="0.35">
      <c r="A27" s="81"/>
      <c r="B27" s="81"/>
      <c r="C27" s="56"/>
      <c r="D27" s="47" t="s">
        <v>175</v>
      </c>
      <c r="E27" s="82"/>
      <c r="F27" s="56"/>
      <c r="G27" s="47"/>
      <c r="H27" s="61"/>
      <c r="I27" s="57"/>
      <c r="J27" s="47"/>
      <c r="K27" s="59"/>
      <c r="L27" s="56"/>
      <c r="M27" s="47"/>
      <c r="N27" s="61"/>
      <c r="O27" s="56"/>
      <c r="P27" s="47"/>
      <c r="Q27" s="61"/>
    </row>
    <row r="28" spans="1:17" x14ac:dyDescent="0.35">
      <c r="A28" s="81"/>
      <c r="B28" s="81"/>
      <c r="C28" s="56"/>
      <c r="D28" s="47" t="s">
        <v>176</v>
      </c>
      <c r="E28" s="82"/>
      <c r="F28" s="56"/>
      <c r="G28" s="47"/>
      <c r="H28" s="61"/>
      <c r="I28" s="57"/>
      <c r="J28" s="47"/>
      <c r="K28" s="59"/>
      <c r="L28" s="56"/>
      <c r="M28" s="47"/>
      <c r="N28" s="61"/>
      <c r="O28" s="56"/>
      <c r="P28" s="47"/>
      <c r="Q28" s="61"/>
    </row>
    <row r="29" spans="1:17" x14ac:dyDescent="0.35">
      <c r="A29" s="81"/>
      <c r="B29" s="81"/>
      <c r="C29" s="56"/>
      <c r="D29" s="47"/>
      <c r="E29" s="82"/>
      <c r="F29" s="56"/>
      <c r="G29" s="47"/>
      <c r="H29" s="61"/>
      <c r="I29" s="57"/>
      <c r="J29" s="47"/>
      <c r="K29" s="59"/>
      <c r="L29" s="56"/>
      <c r="M29" s="47"/>
      <c r="N29" s="61"/>
      <c r="O29" s="56"/>
      <c r="P29" s="47"/>
      <c r="Q29" s="61"/>
    </row>
    <row r="30" spans="1:17" x14ac:dyDescent="0.35">
      <c r="A30" s="81"/>
      <c r="B30" s="81"/>
      <c r="C30" s="56"/>
      <c r="D30" s="47"/>
      <c r="E30" s="82"/>
      <c r="F30" s="56"/>
      <c r="G30" s="47"/>
      <c r="H30" s="61"/>
      <c r="I30" s="57"/>
      <c r="J30" s="47"/>
      <c r="K30" s="59"/>
      <c r="L30" s="56"/>
      <c r="M30" s="47"/>
      <c r="N30" s="61"/>
      <c r="O30" s="56"/>
      <c r="P30" s="47"/>
      <c r="Q30" s="61"/>
    </row>
    <row r="31" spans="1:17" x14ac:dyDescent="0.35">
      <c r="A31" s="81" t="s">
        <v>177</v>
      </c>
      <c r="B31" s="81"/>
      <c r="C31" s="56"/>
      <c r="D31" s="47"/>
      <c r="E31" s="82"/>
      <c r="F31" s="56"/>
      <c r="G31" s="47"/>
      <c r="H31" s="61"/>
      <c r="I31" s="57"/>
      <c r="J31" s="47"/>
      <c r="K31" s="59"/>
      <c r="L31" s="56"/>
      <c r="M31" s="47"/>
      <c r="N31" s="61"/>
      <c r="O31" s="56"/>
      <c r="P31" s="47"/>
      <c r="Q31" s="61"/>
    </row>
    <row r="32" spans="1:17" x14ac:dyDescent="0.35">
      <c r="A32" s="84" t="s">
        <v>178</v>
      </c>
      <c r="B32" s="84"/>
      <c r="C32" s="56"/>
      <c r="D32" s="47"/>
      <c r="E32" s="82"/>
      <c r="F32" s="56"/>
      <c r="G32" s="47"/>
      <c r="H32" s="61"/>
      <c r="I32" s="57"/>
      <c r="J32" s="47"/>
      <c r="K32" s="59"/>
      <c r="L32" s="56"/>
      <c r="M32" s="47"/>
      <c r="N32" s="61"/>
      <c r="O32" s="56"/>
      <c r="P32" s="47"/>
      <c r="Q32" s="61"/>
    </row>
    <row r="33" spans="1:17" x14ac:dyDescent="0.35">
      <c r="A33" s="81"/>
      <c r="B33" s="81"/>
      <c r="C33" s="56"/>
      <c r="D33" s="47"/>
      <c r="E33" s="82"/>
      <c r="F33" s="56"/>
      <c r="G33" s="47"/>
      <c r="H33" s="61"/>
      <c r="I33" s="57"/>
      <c r="J33" s="47"/>
      <c r="K33" s="59"/>
      <c r="L33" s="56"/>
      <c r="M33" s="47"/>
      <c r="N33" s="61"/>
      <c r="O33" s="56"/>
      <c r="P33" s="47"/>
      <c r="Q33" s="61"/>
    </row>
    <row r="34" spans="1:17" x14ac:dyDescent="0.35">
      <c r="A34" s="84" t="s">
        <v>179</v>
      </c>
      <c r="B34" s="84"/>
      <c r="C34" s="56">
        <v>1152</v>
      </c>
      <c r="D34" s="49"/>
      <c r="E34" s="82"/>
      <c r="F34" s="56" t="s">
        <v>180</v>
      </c>
      <c r="G34" s="47" t="s">
        <v>180</v>
      </c>
      <c r="H34" s="61" t="s">
        <v>180</v>
      </c>
      <c r="I34" s="57"/>
      <c r="J34" s="47" t="s">
        <v>180</v>
      </c>
      <c r="K34" s="59"/>
      <c r="L34" s="56"/>
      <c r="M34" s="47"/>
      <c r="N34" s="61"/>
      <c r="O34" s="56">
        <f>5*1100</f>
        <v>5500</v>
      </c>
      <c r="P34" s="47"/>
      <c r="Q34" s="61"/>
    </row>
    <row r="35" spans="1:17" x14ac:dyDescent="0.35">
      <c r="A35" s="81" t="s">
        <v>181</v>
      </c>
      <c r="B35" s="81"/>
      <c r="C35" s="56"/>
      <c r="D35" s="47" t="s">
        <v>182</v>
      </c>
      <c r="E35" s="82"/>
      <c r="F35" s="56"/>
      <c r="G35" s="47"/>
      <c r="H35" s="61"/>
      <c r="I35" s="57"/>
      <c r="J35" s="47"/>
      <c r="K35" s="59"/>
      <c r="L35" s="56"/>
      <c r="M35" s="47"/>
      <c r="N35" s="61"/>
      <c r="O35" s="56"/>
      <c r="P35" s="47"/>
      <c r="Q35" s="61"/>
    </row>
    <row r="36" spans="1:17" x14ac:dyDescent="0.35">
      <c r="A36" s="84" t="s">
        <v>183</v>
      </c>
      <c r="B36" s="84"/>
      <c r="C36" s="56"/>
      <c r="D36" s="47" t="s">
        <v>184</v>
      </c>
      <c r="E36" s="82"/>
      <c r="F36" s="56"/>
      <c r="G36" s="47"/>
      <c r="H36" s="61"/>
      <c r="I36" s="57"/>
      <c r="J36" s="47"/>
      <c r="K36" s="59"/>
      <c r="L36" s="56"/>
      <c r="M36" s="47"/>
      <c r="N36" s="61"/>
      <c r="O36" s="56"/>
      <c r="P36" s="47"/>
      <c r="Q36" s="61"/>
    </row>
    <row r="37" spans="1:17" x14ac:dyDescent="0.35">
      <c r="A37" s="81"/>
      <c r="B37" s="81"/>
      <c r="C37" s="56"/>
      <c r="D37" s="47" t="s">
        <v>185</v>
      </c>
      <c r="E37" s="82"/>
      <c r="F37" s="56"/>
      <c r="G37" s="47"/>
      <c r="H37" s="61"/>
      <c r="I37" s="57"/>
      <c r="J37" s="47"/>
      <c r="K37" s="59"/>
      <c r="L37" s="56"/>
      <c r="M37" s="47"/>
      <c r="N37" s="61"/>
      <c r="O37" s="56"/>
      <c r="P37" s="47"/>
      <c r="Q37" s="61"/>
    </row>
    <row r="38" spans="1:17" x14ac:dyDescent="0.35">
      <c r="A38" s="85" t="s">
        <v>186</v>
      </c>
      <c r="B38" s="86"/>
      <c r="C38" s="56"/>
      <c r="D38" s="47" t="s">
        <v>187</v>
      </c>
      <c r="E38" s="82"/>
      <c r="F38" s="56"/>
      <c r="G38" s="47"/>
      <c r="H38" s="61"/>
      <c r="I38" s="57"/>
      <c r="J38" s="47"/>
      <c r="K38" s="59"/>
      <c r="L38" s="56"/>
      <c r="M38" s="47"/>
      <c r="N38" s="61"/>
      <c r="O38" s="56"/>
      <c r="P38" s="47"/>
      <c r="Q38" s="61"/>
    </row>
    <row r="39" spans="1:17" x14ac:dyDescent="0.35">
      <c r="A39" s="81"/>
      <c r="B39" s="81"/>
      <c r="C39" s="56"/>
      <c r="D39" s="47" t="s">
        <v>188</v>
      </c>
      <c r="E39" s="82"/>
      <c r="F39" s="56"/>
      <c r="G39" s="47"/>
      <c r="H39" s="61"/>
      <c r="I39" s="57"/>
      <c r="J39" s="47"/>
      <c r="K39" s="59"/>
      <c r="L39" s="56"/>
      <c r="M39" s="47"/>
      <c r="N39" s="61"/>
      <c r="O39" s="56"/>
      <c r="P39" s="47"/>
      <c r="Q39" s="61"/>
    </row>
    <row r="40" spans="1:17" x14ac:dyDescent="0.35">
      <c r="A40" s="81"/>
      <c r="B40" s="81"/>
      <c r="C40" s="56"/>
      <c r="D40" s="47" t="s">
        <v>189</v>
      </c>
      <c r="E40" s="82"/>
      <c r="F40" s="56"/>
      <c r="G40" s="47"/>
      <c r="H40" s="61"/>
      <c r="I40" s="57"/>
      <c r="J40" s="47"/>
      <c r="K40" s="59"/>
      <c r="L40" s="56"/>
      <c r="M40" s="47"/>
      <c r="N40" s="61"/>
      <c r="O40" s="56"/>
      <c r="P40" s="47"/>
      <c r="Q40" s="61"/>
    </row>
    <row r="41" spans="1:17" x14ac:dyDescent="0.35">
      <c r="A41" s="81"/>
      <c r="B41" s="81"/>
      <c r="C41" s="56"/>
      <c r="D41" s="47" t="s">
        <v>190</v>
      </c>
      <c r="E41" s="82"/>
      <c r="F41" s="56"/>
      <c r="G41" s="47"/>
      <c r="H41" s="61"/>
      <c r="I41" s="57"/>
      <c r="J41" s="47"/>
      <c r="K41" s="59"/>
      <c r="L41" s="56"/>
      <c r="M41" s="47"/>
      <c r="N41" s="61"/>
      <c r="O41" s="56"/>
      <c r="P41" s="47"/>
      <c r="Q41" s="61"/>
    </row>
    <row r="42" spans="1:17" x14ac:dyDescent="0.35">
      <c r="A42" s="81"/>
      <c r="B42" s="81"/>
      <c r="C42" s="56"/>
      <c r="D42" s="47" t="s">
        <v>84</v>
      </c>
      <c r="E42" s="82"/>
      <c r="F42" s="56"/>
      <c r="G42" s="47"/>
      <c r="H42" s="61"/>
      <c r="I42" s="57"/>
      <c r="J42" s="47"/>
      <c r="K42" s="59"/>
      <c r="L42" s="56"/>
      <c r="M42" s="47"/>
      <c r="N42" s="61"/>
      <c r="O42" s="56"/>
      <c r="P42" s="47"/>
      <c r="Q42" s="61"/>
    </row>
    <row r="43" spans="1:17" x14ac:dyDescent="0.35">
      <c r="A43" s="81"/>
      <c r="B43" s="81"/>
      <c r="C43" s="56"/>
      <c r="D43" s="47" t="s">
        <v>191</v>
      </c>
      <c r="E43" s="82"/>
      <c r="F43" s="56"/>
      <c r="G43" s="47"/>
      <c r="H43" s="61"/>
      <c r="I43" s="57"/>
      <c r="J43" s="47"/>
      <c r="K43" s="59"/>
      <c r="L43" s="56"/>
      <c r="M43" s="47"/>
      <c r="N43" s="61"/>
      <c r="O43" s="56"/>
      <c r="P43" s="47"/>
      <c r="Q43" s="61"/>
    </row>
    <row r="44" spans="1:17" x14ac:dyDescent="0.35">
      <c r="A44" s="81"/>
      <c r="B44" s="81"/>
      <c r="C44" s="56"/>
      <c r="D44" s="47"/>
      <c r="E44" s="82"/>
      <c r="F44" s="56"/>
      <c r="G44" s="47"/>
      <c r="H44" s="61"/>
      <c r="I44" s="57"/>
      <c r="J44" s="47"/>
      <c r="K44" s="59"/>
      <c r="L44" s="56"/>
      <c r="M44" s="47"/>
      <c r="N44" s="61"/>
      <c r="O44" s="56"/>
      <c r="P44" s="47"/>
      <c r="Q44" s="61"/>
    </row>
    <row r="45" spans="1:17" x14ac:dyDescent="0.35">
      <c r="A45" s="81"/>
      <c r="B45" s="81"/>
      <c r="C45" s="56"/>
      <c r="D45" s="47"/>
      <c r="E45" s="82"/>
      <c r="F45" s="56"/>
      <c r="G45" s="47"/>
      <c r="H45" s="61"/>
      <c r="I45" s="57"/>
      <c r="J45" s="47"/>
      <c r="K45" s="59"/>
      <c r="L45" s="56"/>
      <c r="M45" s="47"/>
      <c r="N45" s="61"/>
      <c r="O45" s="56"/>
      <c r="P45" s="47"/>
      <c r="Q45" s="61"/>
    </row>
    <row r="46" spans="1:17" x14ac:dyDescent="0.35">
      <c r="A46" s="81" t="s">
        <v>192</v>
      </c>
      <c r="B46" s="81"/>
      <c r="C46" s="56"/>
      <c r="D46" s="47"/>
      <c r="E46" s="82"/>
      <c r="F46" s="56" t="s">
        <v>180</v>
      </c>
      <c r="G46" s="47" t="s">
        <v>180</v>
      </c>
      <c r="H46" s="61" t="s">
        <v>180</v>
      </c>
      <c r="I46" s="57">
        <v>582</v>
      </c>
      <c r="J46" s="47"/>
      <c r="K46" s="59"/>
      <c r="L46" s="56"/>
      <c r="M46" s="47"/>
      <c r="N46" s="61"/>
      <c r="O46" s="56"/>
      <c r="P46" s="47"/>
      <c r="Q46" s="61"/>
    </row>
    <row r="47" spans="1:17" x14ac:dyDescent="0.35">
      <c r="A47" s="84" t="s">
        <v>193</v>
      </c>
      <c r="B47" s="84"/>
      <c r="C47" s="56"/>
      <c r="D47" s="47"/>
      <c r="E47" s="82"/>
      <c r="F47" s="56"/>
      <c r="G47" s="47"/>
      <c r="H47" s="61"/>
      <c r="I47" s="57"/>
      <c r="J47" s="47"/>
      <c r="K47" s="59"/>
      <c r="L47" s="56"/>
      <c r="M47" s="47"/>
      <c r="N47" s="61"/>
      <c r="O47" s="56"/>
      <c r="P47" s="47"/>
      <c r="Q47" s="61"/>
    </row>
    <row r="48" spans="1:17" x14ac:dyDescent="0.35">
      <c r="A48" s="81"/>
      <c r="B48" s="81"/>
      <c r="C48" s="56"/>
      <c r="D48" s="47"/>
      <c r="E48" s="82"/>
      <c r="F48" s="56"/>
      <c r="G48" s="47"/>
      <c r="H48" s="61"/>
      <c r="I48" s="57"/>
      <c r="J48" s="47"/>
      <c r="K48" s="59"/>
      <c r="L48" s="56"/>
      <c r="M48" s="47"/>
      <c r="N48" s="61"/>
      <c r="O48" s="56"/>
      <c r="P48" s="47"/>
      <c r="Q48" s="61"/>
    </row>
    <row r="49" spans="1:17" x14ac:dyDescent="0.35">
      <c r="A49" s="81"/>
      <c r="B49" s="81"/>
      <c r="C49" s="56"/>
      <c r="D49" s="47"/>
      <c r="E49" s="82"/>
      <c r="F49" s="56"/>
      <c r="G49" s="47"/>
      <c r="H49" s="61"/>
      <c r="I49" s="57"/>
      <c r="J49" s="47"/>
      <c r="K49" s="59"/>
      <c r="L49" s="56"/>
      <c r="M49" s="47"/>
      <c r="N49" s="61"/>
      <c r="O49" s="56"/>
      <c r="P49" s="47"/>
      <c r="Q49" s="61"/>
    </row>
    <row r="50" spans="1:17" x14ac:dyDescent="0.35">
      <c r="A50" s="81"/>
      <c r="B50" s="81"/>
      <c r="C50" s="56"/>
      <c r="D50" s="47"/>
      <c r="E50" s="82"/>
      <c r="F50" s="56"/>
      <c r="G50" s="47"/>
      <c r="H50" s="61"/>
      <c r="I50" s="57"/>
      <c r="J50" s="47"/>
      <c r="K50" s="59"/>
      <c r="L50" s="56"/>
      <c r="M50" s="47"/>
      <c r="N50" s="61"/>
      <c r="O50" s="56"/>
      <c r="P50" s="47"/>
      <c r="Q50" s="61"/>
    </row>
    <row r="51" spans="1:17" x14ac:dyDescent="0.35">
      <c r="A51" s="81"/>
      <c r="B51" s="81"/>
      <c r="C51" s="56"/>
      <c r="D51" s="47"/>
      <c r="E51" s="82"/>
      <c r="F51" s="56"/>
      <c r="G51" s="47"/>
      <c r="H51" s="61"/>
      <c r="I51" s="57"/>
      <c r="J51" s="47"/>
      <c r="K51" s="59"/>
      <c r="L51" s="56"/>
      <c r="M51" s="47"/>
      <c r="N51" s="61"/>
      <c r="O51" s="56"/>
      <c r="P51" s="47"/>
      <c r="Q51" s="61"/>
    </row>
    <row r="52" spans="1:17" x14ac:dyDescent="0.35">
      <c r="A52" s="81" t="s">
        <v>194</v>
      </c>
      <c r="B52" s="81" t="s">
        <v>195</v>
      </c>
      <c r="C52" s="56">
        <f>192*4+(20*20)</f>
        <v>1168</v>
      </c>
      <c r="D52" s="47"/>
      <c r="E52" s="82"/>
      <c r="F52" s="56" t="s">
        <v>180</v>
      </c>
      <c r="G52" s="47" t="s">
        <v>180</v>
      </c>
      <c r="H52" s="61" t="s">
        <v>180</v>
      </c>
      <c r="I52" s="57">
        <v>582</v>
      </c>
      <c r="J52" s="47"/>
      <c r="K52" s="59"/>
      <c r="L52" s="56"/>
      <c r="M52" s="47"/>
      <c r="N52" s="61"/>
      <c r="O52" s="56"/>
      <c r="P52" s="47"/>
      <c r="Q52" s="61"/>
    </row>
    <row r="53" spans="1:17" x14ac:dyDescent="0.35">
      <c r="A53" s="81" t="s">
        <v>196</v>
      </c>
      <c r="B53" s="81" t="s">
        <v>197</v>
      </c>
      <c r="C53" s="56"/>
      <c r="D53" s="47" t="s">
        <v>198</v>
      </c>
      <c r="E53" s="82"/>
      <c r="F53" s="56"/>
      <c r="G53" s="47"/>
      <c r="H53" s="61"/>
      <c r="I53" s="57"/>
      <c r="J53" s="47"/>
      <c r="K53" s="59"/>
      <c r="L53" s="56"/>
      <c r="M53" s="47"/>
      <c r="N53" s="61"/>
      <c r="O53" s="56"/>
      <c r="P53" s="47"/>
      <c r="Q53" s="61"/>
    </row>
    <row r="54" spans="1:17" x14ac:dyDescent="0.35">
      <c r="A54" s="87" t="s">
        <v>186</v>
      </c>
      <c r="B54" s="81" t="s">
        <v>197</v>
      </c>
      <c r="C54" s="56"/>
      <c r="D54" s="47" t="s">
        <v>199</v>
      </c>
      <c r="E54" s="82"/>
      <c r="F54" s="56"/>
      <c r="G54" s="47"/>
      <c r="H54" s="61"/>
      <c r="I54" s="57"/>
      <c r="J54" s="47"/>
      <c r="K54" s="59"/>
      <c r="L54" s="56"/>
      <c r="M54" s="47"/>
      <c r="N54" s="61"/>
      <c r="O54" s="56"/>
      <c r="P54" s="47"/>
      <c r="Q54" s="61"/>
    </row>
    <row r="55" spans="1:17" x14ac:dyDescent="0.35">
      <c r="A55" s="88"/>
      <c r="B55" s="81" t="s">
        <v>197</v>
      </c>
      <c r="C55" s="56"/>
      <c r="D55" s="47" t="s">
        <v>200</v>
      </c>
      <c r="E55" s="82"/>
      <c r="F55" s="56"/>
      <c r="G55" s="47"/>
      <c r="H55" s="61"/>
      <c r="I55" s="57"/>
      <c r="J55" s="47"/>
      <c r="K55" s="59"/>
      <c r="L55" s="56"/>
      <c r="M55" s="47"/>
      <c r="N55" s="61"/>
      <c r="O55" s="56"/>
      <c r="P55" s="47"/>
      <c r="Q55" s="61"/>
    </row>
    <row r="56" spans="1:17" x14ac:dyDescent="0.35">
      <c r="A56" s="88"/>
      <c r="B56" s="81" t="s">
        <v>197</v>
      </c>
      <c r="C56" s="56"/>
      <c r="D56" s="47" t="s">
        <v>201</v>
      </c>
      <c r="E56" s="82"/>
      <c r="F56" s="56"/>
      <c r="G56" s="47"/>
      <c r="H56" s="61"/>
      <c r="I56" s="57"/>
      <c r="J56" s="47"/>
      <c r="K56" s="59"/>
      <c r="L56" s="56"/>
      <c r="M56" s="47"/>
      <c r="N56" s="61"/>
      <c r="O56" s="56"/>
      <c r="P56" s="47"/>
      <c r="Q56" s="61"/>
    </row>
    <row r="57" spans="1:17" x14ac:dyDescent="0.35">
      <c r="A57" s="88"/>
      <c r="B57" s="81" t="s">
        <v>197</v>
      </c>
      <c r="C57" s="56"/>
      <c r="D57" s="47" t="s">
        <v>202</v>
      </c>
      <c r="E57" s="82"/>
      <c r="F57" s="56"/>
      <c r="G57" s="47"/>
      <c r="H57" s="61"/>
      <c r="I57" s="57"/>
      <c r="J57" s="47"/>
      <c r="K57" s="59"/>
      <c r="L57" s="56"/>
      <c r="M57" s="47"/>
      <c r="N57" s="61"/>
      <c r="O57" s="56"/>
      <c r="P57" s="47"/>
      <c r="Q57" s="61"/>
    </row>
    <row r="58" spans="1:17" x14ac:dyDescent="0.35">
      <c r="A58" s="88"/>
      <c r="B58" s="81" t="s">
        <v>197</v>
      </c>
      <c r="C58" s="56"/>
      <c r="D58" s="47" t="s">
        <v>203</v>
      </c>
      <c r="E58" s="82"/>
      <c r="F58" s="56"/>
      <c r="G58" s="47"/>
      <c r="H58" s="61"/>
      <c r="I58" s="57"/>
      <c r="J58" s="47"/>
      <c r="K58" s="59"/>
      <c r="L58" s="56"/>
      <c r="M58" s="47"/>
      <c r="N58" s="61"/>
      <c r="O58" s="56"/>
      <c r="P58" s="47"/>
      <c r="Q58" s="61"/>
    </row>
    <row r="59" spans="1:17" x14ac:dyDescent="0.35">
      <c r="A59" s="88"/>
      <c r="B59" s="81" t="s">
        <v>204</v>
      </c>
      <c r="C59" s="56"/>
      <c r="D59" s="47" t="s">
        <v>76</v>
      </c>
      <c r="E59" s="82"/>
      <c r="F59" s="56"/>
      <c r="G59" s="47"/>
      <c r="H59" s="61"/>
      <c r="I59" s="57"/>
      <c r="J59" s="47"/>
      <c r="K59" s="59"/>
      <c r="L59" s="56"/>
      <c r="M59" s="47"/>
      <c r="N59" s="61"/>
      <c r="O59" s="56"/>
      <c r="P59" s="47"/>
      <c r="Q59" s="61"/>
    </row>
    <row r="60" spans="1:17" x14ac:dyDescent="0.35">
      <c r="A60" s="88"/>
      <c r="B60" s="81" t="s">
        <v>204</v>
      </c>
      <c r="C60" s="56"/>
      <c r="D60" s="47" t="s">
        <v>205</v>
      </c>
      <c r="E60" s="82"/>
      <c r="F60" s="56"/>
      <c r="G60" s="47"/>
      <c r="H60" s="61"/>
      <c r="I60" s="57"/>
      <c r="J60" s="47"/>
      <c r="K60" s="59"/>
      <c r="L60" s="56"/>
      <c r="M60" s="47"/>
      <c r="N60" s="61"/>
      <c r="O60" s="56"/>
      <c r="P60" s="47"/>
      <c r="Q60" s="61"/>
    </row>
    <row r="61" spans="1:17" x14ac:dyDescent="0.35">
      <c r="A61" s="81"/>
      <c r="B61" s="81" t="s">
        <v>204</v>
      </c>
      <c r="C61" s="56"/>
      <c r="D61" s="47" t="s">
        <v>206</v>
      </c>
      <c r="E61" s="82"/>
      <c r="F61" s="56"/>
      <c r="G61" s="47"/>
      <c r="H61" s="61"/>
      <c r="I61" s="57"/>
      <c r="J61" s="47"/>
      <c r="K61" s="59"/>
      <c r="L61" s="56"/>
      <c r="M61" s="47"/>
      <c r="N61" s="61"/>
      <c r="O61" s="56"/>
      <c r="P61" s="47"/>
      <c r="Q61" s="61"/>
    </row>
    <row r="62" spans="1:17" x14ac:dyDescent="0.35">
      <c r="A62" s="81"/>
      <c r="B62" s="81" t="s">
        <v>204</v>
      </c>
      <c r="C62" s="56"/>
      <c r="D62" s="47" t="s">
        <v>207</v>
      </c>
      <c r="E62" s="82"/>
      <c r="F62" s="56"/>
      <c r="G62" s="47"/>
      <c r="H62" s="61"/>
      <c r="I62" s="57"/>
      <c r="J62" s="47"/>
      <c r="K62" s="59"/>
      <c r="L62" s="56"/>
      <c r="M62" s="47"/>
      <c r="N62" s="61"/>
      <c r="O62" s="56"/>
      <c r="P62" s="47"/>
      <c r="Q62" s="61"/>
    </row>
    <row r="63" spans="1:17" x14ac:dyDescent="0.35">
      <c r="A63" s="81"/>
      <c r="B63" s="81" t="s">
        <v>204</v>
      </c>
      <c r="C63" s="56"/>
      <c r="D63" s="47" t="s">
        <v>208</v>
      </c>
      <c r="E63" s="82"/>
      <c r="F63" s="56"/>
      <c r="G63" s="47"/>
      <c r="H63" s="61"/>
      <c r="I63" s="57"/>
      <c r="J63" s="47"/>
      <c r="K63" s="59"/>
      <c r="L63" s="56"/>
      <c r="M63" s="47"/>
      <c r="N63" s="61"/>
      <c r="O63" s="56"/>
      <c r="P63" s="47"/>
      <c r="Q63" s="61"/>
    </row>
    <row r="64" spans="1:17" x14ac:dyDescent="0.35">
      <c r="A64" s="81"/>
      <c r="B64" s="81" t="s">
        <v>204</v>
      </c>
      <c r="C64" s="56"/>
      <c r="D64" s="47" t="s">
        <v>209</v>
      </c>
      <c r="E64" s="82"/>
      <c r="F64" s="56"/>
      <c r="G64" s="47"/>
      <c r="H64" s="61"/>
      <c r="I64" s="57"/>
      <c r="J64" s="47"/>
      <c r="K64" s="59"/>
      <c r="L64" s="56"/>
      <c r="M64" s="47"/>
      <c r="N64" s="61"/>
      <c r="O64" s="56"/>
      <c r="P64" s="47"/>
      <c r="Q64" s="61"/>
    </row>
    <row r="65" spans="1:17" x14ac:dyDescent="0.35">
      <c r="A65" s="81"/>
      <c r="B65" s="81" t="s">
        <v>204</v>
      </c>
      <c r="C65" s="56"/>
      <c r="D65" s="47" t="s">
        <v>64</v>
      </c>
      <c r="E65" s="82"/>
      <c r="F65" s="56"/>
      <c r="G65" s="47"/>
      <c r="H65" s="61"/>
      <c r="I65" s="57"/>
      <c r="J65" s="47"/>
      <c r="K65" s="59"/>
      <c r="L65" s="56"/>
      <c r="M65" s="47"/>
      <c r="N65" s="61"/>
      <c r="O65" s="56"/>
      <c r="P65" s="47"/>
      <c r="Q65" s="61"/>
    </row>
    <row r="66" spans="1:17" x14ac:dyDescent="0.35">
      <c r="A66" s="81"/>
      <c r="B66" s="81" t="s">
        <v>210</v>
      </c>
      <c r="C66" s="56"/>
      <c r="D66" s="47" t="s">
        <v>211</v>
      </c>
      <c r="E66" s="82"/>
      <c r="F66" s="56"/>
      <c r="G66" s="47"/>
      <c r="H66" s="61"/>
      <c r="I66" s="57"/>
      <c r="J66" s="47"/>
      <c r="K66" s="59"/>
      <c r="L66" s="56"/>
      <c r="M66" s="47"/>
      <c r="N66" s="61"/>
      <c r="O66" s="56"/>
      <c r="P66" s="47"/>
      <c r="Q66" s="61"/>
    </row>
    <row r="67" spans="1:17" x14ac:dyDescent="0.35">
      <c r="A67" s="81"/>
      <c r="B67" s="81" t="s">
        <v>210</v>
      </c>
      <c r="C67" s="56"/>
      <c r="D67" s="47" t="s">
        <v>212</v>
      </c>
      <c r="E67" s="82"/>
      <c r="F67" s="56"/>
      <c r="G67" s="47"/>
      <c r="H67" s="61"/>
      <c r="I67" s="57"/>
      <c r="J67" s="47"/>
      <c r="K67" s="59"/>
      <c r="L67" s="56"/>
      <c r="M67" s="47"/>
      <c r="N67" s="61"/>
      <c r="O67" s="56"/>
      <c r="P67" s="47"/>
      <c r="Q67" s="61"/>
    </row>
    <row r="68" spans="1:17" x14ac:dyDescent="0.35">
      <c r="A68" s="81"/>
      <c r="B68" s="81" t="s">
        <v>210</v>
      </c>
      <c r="C68" s="56"/>
      <c r="D68" s="47" t="s">
        <v>213</v>
      </c>
      <c r="E68" s="82"/>
      <c r="F68" s="56"/>
      <c r="G68" s="47"/>
      <c r="H68" s="61"/>
      <c r="I68" s="57"/>
      <c r="J68" s="47"/>
      <c r="K68" s="59"/>
      <c r="L68" s="56"/>
      <c r="M68" s="47"/>
      <c r="N68" s="61"/>
      <c r="O68" s="56"/>
      <c r="P68" s="47"/>
      <c r="Q68" s="61"/>
    </row>
    <row r="69" spans="1:17" x14ac:dyDescent="0.35">
      <c r="A69" s="81"/>
      <c r="B69" s="81" t="s">
        <v>210</v>
      </c>
      <c r="C69" s="56"/>
      <c r="D69" s="47" t="s">
        <v>214</v>
      </c>
      <c r="E69" s="82"/>
      <c r="F69" s="56"/>
      <c r="G69" s="47"/>
      <c r="H69" s="61"/>
      <c r="I69" s="57"/>
      <c r="J69" s="47"/>
      <c r="K69" s="59"/>
      <c r="L69" s="56"/>
      <c r="M69" s="47"/>
      <c r="N69" s="61"/>
      <c r="O69" s="56"/>
      <c r="P69" s="47"/>
      <c r="Q69" s="61"/>
    </row>
    <row r="70" spans="1:17" x14ac:dyDescent="0.35">
      <c r="A70" s="81"/>
      <c r="B70" s="81" t="s">
        <v>215</v>
      </c>
      <c r="C70" s="56"/>
      <c r="D70" s="47" t="s">
        <v>216</v>
      </c>
      <c r="E70" s="82"/>
      <c r="F70" s="56"/>
      <c r="G70" s="47"/>
      <c r="H70" s="61"/>
      <c r="I70" s="57"/>
      <c r="J70" s="47"/>
      <c r="K70" s="59"/>
      <c r="L70" s="56"/>
      <c r="M70" s="47"/>
      <c r="N70" s="61"/>
      <c r="O70" s="56"/>
      <c r="P70" s="47"/>
      <c r="Q70" s="61"/>
    </row>
    <row r="71" spans="1:17" x14ac:dyDescent="0.35">
      <c r="A71" s="81"/>
      <c r="B71" s="81" t="s">
        <v>215</v>
      </c>
      <c r="C71" s="56"/>
      <c r="D71" s="47" t="s">
        <v>217</v>
      </c>
      <c r="E71" s="82"/>
      <c r="F71" s="56"/>
      <c r="G71" s="47"/>
      <c r="H71" s="61"/>
      <c r="I71" s="57"/>
      <c r="J71" s="47"/>
      <c r="K71" s="59"/>
      <c r="L71" s="56"/>
      <c r="M71" s="47"/>
      <c r="N71" s="61"/>
      <c r="O71" s="56"/>
      <c r="P71" s="47"/>
      <c r="Q71" s="61"/>
    </row>
    <row r="72" spans="1:17" x14ac:dyDescent="0.35">
      <c r="A72" s="81"/>
      <c r="B72" s="81" t="s">
        <v>215</v>
      </c>
      <c r="C72" s="56"/>
      <c r="D72" s="47" t="s">
        <v>218</v>
      </c>
      <c r="E72" s="82"/>
      <c r="F72" s="56"/>
      <c r="G72" s="47"/>
      <c r="H72" s="61"/>
      <c r="I72" s="57"/>
      <c r="J72" s="47"/>
      <c r="K72" s="59"/>
      <c r="L72" s="56"/>
      <c r="M72" s="47"/>
      <c r="N72" s="61"/>
      <c r="O72" s="56"/>
      <c r="P72" s="47"/>
      <c r="Q72" s="61"/>
    </row>
    <row r="73" spans="1:17" x14ac:dyDescent="0.35">
      <c r="A73" s="81"/>
      <c r="B73" s="81" t="s">
        <v>215</v>
      </c>
      <c r="C73" s="56"/>
      <c r="D73" s="47" t="s">
        <v>219</v>
      </c>
      <c r="E73" s="82"/>
      <c r="F73" s="56"/>
      <c r="G73" s="47"/>
      <c r="H73" s="61"/>
      <c r="I73" s="57"/>
      <c r="J73" s="47"/>
      <c r="K73" s="59"/>
      <c r="L73" s="56"/>
      <c r="M73" s="47"/>
      <c r="N73" s="61"/>
      <c r="O73" s="56"/>
      <c r="P73" s="47"/>
      <c r="Q73" s="61"/>
    </row>
    <row r="74" spans="1:17" x14ac:dyDescent="0.35">
      <c r="A74" s="81"/>
      <c r="B74" s="81" t="s">
        <v>215</v>
      </c>
      <c r="C74" s="56"/>
      <c r="D74" s="47" t="s">
        <v>220</v>
      </c>
      <c r="E74" s="82"/>
      <c r="F74" s="56"/>
      <c r="G74" s="47"/>
      <c r="H74" s="61"/>
      <c r="I74" s="57"/>
      <c r="J74" s="47"/>
      <c r="K74" s="59"/>
      <c r="L74" s="56"/>
      <c r="M74" s="47"/>
      <c r="N74" s="61"/>
      <c r="O74" s="56"/>
      <c r="P74" s="47"/>
      <c r="Q74" s="61"/>
    </row>
    <row r="75" spans="1:17" x14ac:dyDescent="0.35">
      <c r="A75" s="81"/>
      <c r="B75" s="81" t="s">
        <v>215</v>
      </c>
      <c r="C75" s="56"/>
      <c r="D75" s="47" t="s">
        <v>221</v>
      </c>
      <c r="E75" s="82"/>
      <c r="F75" s="56"/>
      <c r="G75" s="47"/>
      <c r="H75" s="61"/>
      <c r="I75" s="57"/>
      <c r="J75" s="47"/>
      <c r="K75" s="59"/>
      <c r="L75" s="56"/>
      <c r="M75" s="47"/>
      <c r="N75" s="61"/>
      <c r="O75" s="56"/>
      <c r="P75" s="47"/>
      <c r="Q75" s="61"/>
    </row>
    <row r="76" spans="1:17" x14ac:dyDescent="0.35">
      <c r="A76" s="81"/>
      <c r="B76" s="81" t="s">
        <v>215</v>
      </c>
      <c r="C76" s="56"/>
      <c r="D76" s="47" t="s">
        <v>222</v>
      </c>
      <c r="E76" s="82"/>
      <c r="F76" s="56"/>
      <c r="G76" s="47"/>
      <c r="H76" s="61"/>
      <c r="I76" s="57"/>
      <c r="J76" s="47"/>
      <c r="K76" s="59"/>
      <c r="L76" s="56"/>
      <c r="M76" s="47"/>
      <c r="N76" s="61"/>
      <c r="O76" s="56"/>
      <c r="P76" s="47"/>
      <c r="Q76" s="61"/>
    </row>
    <row r="77" spans="1:17" x14ac:dyDescent="0.35">
      <c r="A77" s="81" t="s">
        <v>223</v>
      </c>
      <c r="B77" s="81"/>
      <c r="C77" s="56"/>
      <c r="D77" s="47"/>
      <c r="E77" s="82"/>
      <c r="F77" s="56"/>
      <c r="G77" s="47"/>
      <c r="H77" s="61"/>
      <c r="I77" s="57"/>
      <c r="J77" s="47"/>
      <c r="K77" s="59"/>
      <c r="L77" s="56"/>
      <c r="M77" s="47"/>
      <c r="N77" s="61"/>
      <c r="O77" s="56"/>
      <c r="P77" s="47"/>
      <c r="Q77" s="61"/>
    </row>
    <row r="78" spans="1:17" x14ac:dyDescent="0.35">
      <c r="A78" s="81"/>
      <c r="B78" s="81"/>
      <c r="C78" s="56"/>
      <c r="D78" s="47"/>
      <c r="E78" s="82"/>
      <c r="F78" s="56"/>
      <c r="G78" s="47"/>
      <c r="H78" s="61"/>
      <c r="I78" s="57"/>
      <c r="J78" s="47"/>
      <c r="K78" s="59"/>
      <c r="L78" s="56"/>
      <c r="M78" s="47"/>
      <c r="N78" s="61"/>
      <c r="O78" s="56"/>
      <c r="P78" s="47"/>
      <c r="Q78" s="61"/>
    </row>
    <row r="79" spans="1:17" x14ac:dyDescent="0.35">
      <c r="A79" s="81" t="s">
        <v>224</v>
      </c>
      <c r="B79" s="81"/>
      <c r="C79" s="56"/>
      <c r="D79" s="47"/>
      <c r="E79" s="82"/>
      <c r="F79" s="56"/>
      <c r="G79" s="47"/>
      <c r="H79" s="61"/>
      <c r="I79" s="57"/>
      <c r="J79" s="47"/>
      <c r="K79" s="59"/>
      <c r="L79" s="56"/>
      <c r="M79" s="47"/>
      <c r="N79" s="61"/>
      <c r="O79" s="56"/>
      <c r="P79" s="47"/>
      <c r="Q79" s="61"/>
    </row>
    <row r="80" spans="1:17" x14ac:dyDescent="0.35">
      <c r="A80" s="81"/>
      <c r="B80" s="81"/>
      <c r="C80" s="56"/>
      <c r="D80" s="47"/>
      <c r="E80" s="82"/>
      <c r="F80" s="56"/>
      <c r="G80" s="47"/>
      <c r="H80" s="61"/>
      <c r="I80" s="57"/>
      <c r="J80" s="47"/>
      <c r="K80" s="59"/>
      <c r="L80" s="56"/>
      <c r="M80" s="47"/>
      <c r="N80" s="61"/>
      <c r="O80" s="56"/>
      <c r="P80" s="47"/>
      <c r="Q80" s="61"/>
    </row>
    <row r="81" spans="1:17" x14ac:dyDescent="0.35">
      <c r="A81" s="81" t="s">
        <v>225</v>
      </c>
      <c r="B81" s="81"/>
      <c r="C81" s="56"/>
      <c r="D81" s="47"/>
      <c r="E81" s="82"/>
      <c r="F81" s="56"/>
      <c r="G81" s="47"/>
      <c r="H81" s="61"/>
      <c r="I81" s="57"/>
      <c r="J81" s="47"/>
      <c r="K81" s="59"/>
      <c r="L81" s="56"/>
      <c r="M81" s="47"/>
      <c r="N81" s="61"/>
      <c r="O81" s="56"/>
      <c r="P81" s="47"/>
      <c r="Q81" s="61"/>
    </row>
    <row r="82" spans="1:17" x14ac:dyDescent="0.35">
      <c r="A82" s="81"/>
      <c r="B82" s="81"/>
      <c r="C82" s="56"/>
      <c r="D82" s="47"/>
      <c r="E82" s="82"/>
      <c r="F82" s="56"/>
      <c r="G82" s="47"/>
      <c r="H82" s="61"/>
      <c r="I82" s="57"/>
      <c r="J82" s="47"/>
      <c r="K82" s="59"/>
      <c r="L82" s="56"/>
      <c r="M82" s="47"/>
      <c r="N82" s="61"/>
      <c r="O82" s="56"/>
      <c r="P82" s="47"/>
      <c r="Q82" s="61"/>
    </row>
    <row r="83" spans="1:17" x14ac:dyDescent="0.35">
      <c r="A83" s="81"/>
      <c r="B83" s="81"/>
      <c r="C83" s="56"/>
      <c r="D83" s="47"/>
      <c r="E83" s="82"/>
      <c r="F83" s="56"/>
      <c r="G83" s="47"/>
      <c r="H83" s="61"/>
      <c r="I83" s="57"/>
      <c r="J83" s="47"/>
      <c r="K83" s="59"/>
      <c r="L83" s="56"/>
      <c r="M83" s="47"/>
      <c r="N83" s="61"/>
      <c r="O83" s="56"/>
      <c r="P83" s="47"/>
      <c r="Q83" s="61"/>
    </row>
    <row r="84" spans="1:17" x14ac:dyDescent="0.35">
      <c r="A84" s="81"/>
      <c r="B84" s="81"/>
      <c r="C84" s="56"/>
      <c r="D84" s="47"/>
      <c r="E84" s="82"/>
      <c r="F84" s="56"/>
      <c r="G84" s="47"/>
      <c r="H84" s="61"/>
      <c r="I84" s="57"/>
      <c r="J84" s="47"/>
      <c r="K84" s="59"/>
      <c r="L84" s="56"/>
      <c r="M84" s="47"/>
      <c r="N84" s="61"/>
      <c r="O84" s="56"/>
      <c r="P84" s="47"/>
      <c r="Q84" s="61"/>
    </row>
    <row r="85" spans="1:17" x14ac:dyDescent="0.35">
      <c r="A85" s="81"/>
      <c r="B85" s="81"/>
      <c r="C85" s="56"/>
      <c r="D85" s="47"/>
      <c r="E85" s="82"/>
      <c r="F85" s="56"/>
      <c r="G85" s="47"/>
      <c r="H85" s="61"/>
      <c r="I85" s="57"/>
      <c r="J85" s="47"/>
      <c r="K85" s="59"/>
      <c r="L85" s="56"/>
      <c r="M85" s="47"/>
      <c r="N85" s="61"/>
      <c r="O85" s="56"/>
      <c r="P85" s="47"/>
      <c r="Q85" s="61"/>
    </row>
    <row r="86" spans="1:17" x14ac:dyDescent="0.35">
      <c r="A86" s="81"/>
      <c r="B86" s="81"/>
      <c r="C86" s="56"/>
      <c r="D86" s="47"/>
      <c r="E86" s="82"/>
      <c r="F86" s="56"/>
      <c r="G86" s="47"/>
      <c r="H86" s="61"/>
      <c r="I86" s="57"/>
      <c r="J86" s="47"/>
      <c r="K86" s="59"/>
      <c r="L86" s="56"/>
      <c r="M86" s="47"/>
      <c r="N86" s="61"/>
      <c r="O86" s="56"/>
      <c r="P86" s="47"/>
      <c r="Q86" s="61"/>
    </row>
    <row r="87" spans="1:17" x14ac:dyDescent="0.35">
      <c r="A87" s="81"/>
      <c r="B87" s="81"/>
      <c r="C87" s="56"/>
      <c r="D87" s="47"/>
      <c r="E87" s="82"/>
      <c r="F87" s="56"/>
      <c r="G87" s="47"/>
      <c r="H87" s="61"/>
      <c r="I87" s="57"/>
      <c r="J87" s="47"/>
      <c r="K87" s="59"/>
      <c r="L87" s="56"/>
      <c r="M87" s="47"/>
      <c r="N87" s="61"/>
      <c r="O87" s="56"/>
      <c r="P87" s="47"/>
      <c r="Q87" s="61"/>
    </row>
    <row r="88" spans="1:17" x14ac:dyDescent="0.35">
      <c r="A88" s="81"/>
      <c r="B88" s="81"/>
      <c r="C88" s="56"/>
      <c r="D88" s="47"/>
      <c r="E88" s="82"/>
      <c r="F88" s="56"/>
      <c r="G88" s="47"/>
      <c r="H88" s="61"/>
      <c r="I88" s="57"/>
      <c r="J88" s="47"/>
      <c r="K88" s="59"/>
      <c r="L88" s="56"/>
      <c r="M88" s="47"/>
      <c r="N88" s="61"/>
      <c r="O88" s="56"/>
      <c r="P88" s="47"/>
      <c r="Q88" s="61"/>
    </row>
    <row r="89" spans="1:17" x14ac:dyDescent="0.35">
      <c r="A89" s="81"/>
      <c r="B89" s="81"/>
      <c r="C89" s="56"/>
      <c r="D89" s="47"/>
      <c r="E89" s="82"/>
      <c r="F89" s="56"/>
      <c r="G89" s="47"/>
      <c r="H89" s="61"/>
      <c r="I89" s="57"/>
      <c r="J89" s="47"/>
      <c r="K89" s="59"/>
      <c r="L89" s="56"/>
      <c r="M89" s="47"/>
      <c r="N89" s="61"/>
      <c r="O89" s="56"/>
      <c r="P89" s="47"/>
      <c r="Q89" s="61"/>
    </row>
    <row r="90" spans="1:17" x14ac:dyDescent="0.35">
      <c r="A90" s="81"/>
      <c r="B90" s="81"/>
      <c r="C90" s="56"/>
      <c r="D90" s="47"/>
      <c r="E90" s="82"/>
      <c r="F90" s="56"/>
      <c r="G90" s="47"/>
      <c r="H90" s="61"/>
      <c r="I90" s="57"/>
      <c r="J90" s="47"/>
      <c r="K90" s="59"/>
      <c r="L90" s="56"/>
      <c r="M90" s="47"/>
      <c r="N90" s="61"/>
      <c r="O90" s="56"/>
      <c r="P90" s="47"/>
      <c r="Q90" s="61"/>
    </row>
    <row r="91" spans="1:17" x14ac:dyDescent="0.35">
      <c r="A91" s="81"/>
      <c r="B91" s="81"/>
      <c r="C91" s="56"/>
      <c r="D91" s="47"/>
      <c r="E91" s="82"/>
      <c r="F91" s="56"/>
      <c r="G91" s="47"/>
      <c r="H91" s="61"/>
      <c r="I91" s="57"/>
      <c r="J91" s="47"/>
      <c r="K91" s="59"/>
      <c r="L91" s="56"/>
      <c r="M91" s="47"/>
      <c r="N91" s="61"/>
      <c r="O91" s="56"/>
      <c r="P91" s="47"/>
      <c r="Q91" s="61"/>
    </row>
    <row r="92" spans="1:17" x14ac:dyDescent="0.35">
      <c r="A92" s="81"/>
      <c r="B92" s="81"/>
      <c r="C92" s="56"/>
      <c r="D92" s="47"/>
      <c r="E92" s="82"/>
      <c r="F92" s="56"/>
      <c r="G92" s="47"/>
      <c r="H92" s="61"/>
      <c r="I92" s="57"/>
      <c r="J92" s="47"/>
      <c r="K92" s="59"/>
      <c r="L92" s="56"/>
      <c r="M92" s="47"/>
      <c r="N92" s="61"/>
      <c r="O92" s="56"/>
      <c r="P92" s="47"/>
      <c r="Q92" s="61"/>
    </row>
    <row r="93" spans="1:17" x14ac:dyDescent="0.35">
      <c r="A93" s="81"/>
      <c r="B93" s="81"/>
      <c r="C93" s="56"/>
      <c r="D93" s="47"/>
      <c r="E93" s="82"/>
      <c r="F93" s="56"/>
      <c r="G93" s="47"/>
      <c r="H93" s="61"/>
      <c r="I93" s="57"/>
      <c r="J93" s="47"/>
      <c r="K93" s="59"/>
      <c r="L93" s="56"/>
      <c r="M93" s="47"/>
      <c r="N93" s="61"/>
      <c r="O93" s="56"/>
      <c r="P93" s="47"/>
      <c r="Q93" s="61"/>
    </row>
    <row r="94" spans="1:17" x14ac:dyDescent="0.35">
      <c r="A94" s="81"/>
      <c r="B94" s="81"/>
      <c r="C94" s="56"/>
      <c r="D94" s="47"/>
      <c r="E94" s="82"/>
      <c r="F94" s="56"/>
      <c r="G94" s="47"/>
      <c r="H94" s="61"/>
      <c r="I94" s="57"/>
      <c r="J94" s="47"/>
      <c r="K94" s="59"/>
      <c r="L94" s="56"/>
      <c r="M94" s="47"/>
      <c r="N94" s="61"/>
      <c r="O94" s="56"/>
      <c r="P94" s="47"/>
      <c r="Q94" s="61"/>
    </row>
    <row r="95" spans="1:17" x14ac:dyDescent="0.35">
      <c r="A95" s="81"/>
      <c r="B95" s="81"/>
      <c r="C95" s="56"/>
      <c r="D95" s="47"/>
      <c r="E95" s="82"/>
      <c r="F95" s="56"/>
      <c r="G95" s="47"/>
      <c r="H95" s="61"/>
      <c r="I95" s="57"/>
      <c r="J95" s="47"/>
      <c r="K95" s="59"/>
      <c r="L95" s="56"/>
      <c r="M95" s="47"/>
      <c r="N95" s="61"/>
      <c r="O95" s="56"/>
      <c r="P95" s="47"/>
      <c r="Q95" s="61"/>
    </row>
    <row r="96" spans="1:17" x14ac:dyDescent="0.35">
      <c r="A96" s="81"/>
      <c r="B96" s="81"/>
      <c r="C96" s="56"/>
      <c r="D96" s="47"/>
      <c r="E96" s="82"/>
      <c r="F96" s="56"/>
      <c r="G96" s="47"/>
      <c r="H96" s="61"/>
      <c r="I96" s="57"/>
      <c r="J96" s="47"/>
      <c r="K96" s="59"/>
      <c r="L96" s="56"/>
      <c r="M96" s="47"/>
      <c r="N96" s="61"/>
      <c r="O96" s="56"/>
      <c r="P96" s="47"/>
      <c r="Q96" s="61"/>
    </row>
    <row r="97" spans="1:17" x14ac:dyDescent="0.35">
      <c r="A97" s="81"/>
      <c r="B97" s="81"/>
      <c r="C97" s="56"/>
      <c r="D97" s="47"/>
      <c r="E97" s="82"/>
      <c r="F97" s="56"/>
      <c r="G97" s="47"/>
      <c r="H97" s="61"/>
      <c r="I97" s="57"/>
      <c r="J97" s="47"/>
      <c r="K97" s="59"/>
      <c r="L97" s="56"/>
      <c r="M97" s="47"/>
      <c r="N97" s="61"/>
      <c r="O97" s="56"/>
      <c r="P97" s="47"/>
      <c r="Q97" s="61"/>
    </row>
    <row r="98" spans="1:17" x14ac:dyDescent="0.35">
      <c r="A98" s="81"/>
      <c r="B98" s="81"/>
      <c r="C98" s="56"/>
      <c r="D98" s="47"/>
      <c r="E98" s="82"/>
      <c r="F98" s="56"/>
      <c r="G98" s="47"/>
      <c r="H98" s="61"/>
      <c r="I98" s="57"/>
      <c r="J98" s="47"/>
      <c r="K98" s="59"/>
      <c r="L98" s="56"/>
      <c r="M98" s="47"/>
      <c r="N98" s="61"/>
      <c r="O98" s="56"/>
      <c r="P98" s="47"/>
      <c r="Q98" s="61"/>
    </row>
    <row r="99" spans="1:17" x14ac:dyDescent="0.35">
      <c r="A99" s="81"/>
      <c r="B99" s="81"/>
      <c r="C99" s="56"/>
      <c r="D99" s="47"/>
      <c r="E99" s="82"/>
      <c r="F99" s="56"/>
      <c r="G99" s="47"/>
      <c r="H99" s="61"/>
      <c r="I99" s="57"/>
      <c r="J99" s="47"/>
      <c r="K99" s="59"/>
      <c r="L99" s="56"/>
      <c r="M99" s="47"/>
      <c r="N99" s="61"/>
      <c r="O99" s="56"/>
      <c r="P99" s="47"/>
      <c r="Q99" s="61"/>
    </row>
    <row r="100" spans="1:17" x14ac:dyDescent="0.35">
      <c r="A100" s="81"/>
      <c r="B100" s="81"/>
      <c r="C100" s="56"/>
      <c r="D100" s="47"/>
      <c r="E100" s="82"/>
      <c r="F100" s="56"/>
      <c r="G100" s="47"/>
      <c r="H100" s="61"/>
      <c r="I100" s="57"/>
      <c r="J100" s="47"/>
      <c r="K100" s="59"/>
      <c r="L100" s="56"/>
      <c r="M100" s="47"/>
      <c r="N100" s="61"/>
      <c r="O100" s="56"/>
      <c r="P100" s="47"/>
      <c r="Q100" s="61"/>
    </row>
    <row r="101" spans="1:17" x14ac:dyDescent="0.35">
      <c r="A101" s="81"/>
      <c r="B101" s="81"/>
      <c r="C101" s="56"/>
      <c r="D101" s="47"/>
      <c r="E101" s="82"/>
      <c r="F101" s="56"/>
      <c r="G101" s="47"/>
      <c r="H101" s="61"/>
      <c r="I101" s="57"/>
      <c r="J101" s="47"/>
      <c r="K101" s="59"/>
      <c r="L101" s="56"/>
      <c r="M101" s="47"/>
      <c r="N101" s="61"/>
      <c r="O101" s="56"/>
      <c r="P101" s="47"/>
      <c r="Q101" s="61"/>
    </row>
    <row r="102" spans="1:17" x14ac:dyDescent="0.35">
      <c r="A102" s="81"/>
      <c r="B102" s="81"/>
      <c r="C102" s="56"/>
      <c r="D102" s="47"/>
      <c r="E102" s="82"/>
      <c r="F102" s="56"/>
      <c r="G102" s="47"/>
      <c r="H102" s="61"/>
      <c r="I102" s="57"/>
      <c r="J102" s="47"/>
      <c r="K102" s="59"/>
      <c r="L102" s="56"/>
      <c r="M102" s="47"/>
      <c r="N102" s="61"/>
      <c r="O102" s="56"/>
      <c r="P102" s="47"/>
      <c r="Q102" s="61"/>
    </row>
    <row r="103" spans="1:17" x14ac:dyDescent="0.35">
      <c r="A103" s="81"/>
      <c r="B103" s="81"/>
      <c r="C103" s="56"/>
      <c r="D103" s="47"/>
      <c r="E103" s="82"/>
      <c r="F103" s="56"/>
      <c r="G103" s="47"/>
      <c r="H103" s="61"/>
      <c r="I103" s="57"/>
      <c r="J103" s="47"/>
      <c r="K103" s="59"/>
      <c r="L103" s="56"/>
      <c r="M103" s="47"/>
      <c r="N103" s="61"/>
      <c r="O103" s="56"/>
      <c r="P103" s="47"/>
      <c r="Q103" s="61"/>
    </row>
    <row r="104" spans="1:17" x14ac:dyDescent="0.35">
      <c r="A104" s="81"/>
      <c r="B104" s="81"/>
      <c r="C104" s="56"/>
      <c r="D104" s="47"/>
      <c r="E104" s="82"/>
      <c r="F104" s="56"/>
      <c r="G104" s="47"/>
      <c r="H104" s="61"/>
      <c r="I104" s="57"/>
      <c r="J104" s="47"/>
      <c r="K104" s="59"/>
      <c r="L104" s="56"/>
      <c r="M104" s="47"/>
      <c r="N104" s="61"/>
      <c r="O104" s="56"/>
      <c r="P104" s="47"/>
      <c r="Q104" s="61"/>
    </row>
    <row r="105" spans="1:17" x14ac:dyDescent="0.35">
      <c r="A105" s="81"/>
      <c r="B105" s="81"/>
      <c r="C105" s="56"/>
      <c r="D105" s="47"/>
      <c r="E105" s="82"/>
      <c r="F105" s="56"/>
      <c r="G105" s="47"/>
      <c r="H105" s="61"/>
      <c r="I105" s="57"/>
      <c r="J105" s="47"/>
      <c r="K105" s="59"/>
      <c r="L105" s="56"/>
      <c r="M105" s="47"/>
      <c r="N105" s="61"/>
      <c r="O105" s="56"/>
      <c r="P105" s="47"/>
      <c r="Q105" s="61"/>
    </row>
    <row r="106" spans="1:17" x14ac:dyDescent="0.35">
      <c r="A106" s="81"/>
      <c r="B106" s="81"/>
      <c r="C106" s="56"/>
      <c r="D106" s="47"/>
      <c r="E106" s="82"/>
      <c r="F106" s="56"/>
      <c r="G106" s="47"/>
      <c r="H106" s="61"/>
      <c r="I106" s="57"/>
      <c r="J106" s="47"/>
      <c r="K106" s="59"/>
      <c r="L106" s="56"/>
      <c r="M106" s="47"/>
      <c r="N106" s="61"/>
      <c r="O106" s="56"/>
      <c r="P106" s="47"/>
      <c r="Q106" s="61"/>
    </row>
    <row r="107" spans="1:17" x14ac:dyDescent="0.35">
      <c r="A107" s="81"/>
      <c r="B107" s="81"/>
      <c r="C107" s="56"/>
      <c r="D107" s="47"/>
      <c r="E107" s="82"/>
      <c r="F107" s="56"/>
      <c r="G107" s="47"/>
      <c r="H107" s="61"/>
      <c r="I107" s="57"/>
      <c r="J107" s="47"/>
      <c r="K107" s="59"/>
      <c r="L107" s="56"/>
      <c r="M107" s="47"/>
      <c r="N107" s="61"/>
      <c r="O107" s="56"/>
      <c r="P107" s="47"/>
      <c r="Q107" s="61"/>
    </row>
    <row r="108" spans="1:17" x14ac:dyDescent="0.35">
      <c r="A108" s="81"/>
      <c r="B108" s="81"/>
      <c r="C108" s="56"/>
      <c r="D108" s="47"/>
      <c r="E108" s="82"/>
      <c r="F108" s="56"/>
      <c r="G108" s="47"/>
      <c r="H108" s="61"/>
      <c r="I108" s="57"/>
      <c r="J108" s="47"/>
      <c r="K108" s="59"/>
      <c r="L108" s="56"/>
      <c r="M108" s="47"/>
      <c r="N108" s="61"/>
      <c r="O108" s="56"/>
      <c r="P108" s="47"/>
      <c r="Q108" s="61"/>
    </row>
    <row r="109" spans="1:17" x14ac:dyDescent="0.35">
      <c r="A109" s="81"/>
      <c r="B109" s="81"/>
      <c r="C109" s="56"/>
      <c r="D109" s="47"/>
      <c r="E109" s="82"/>
      <c r="F109" s="56"/>
      <c r="G109" s="47"/>
      <c r="H109" s="61"/>
      <c r="I109" s="57"/>
      <c r="J109" s="47"/>
      <c r="K109" s="59"/>
      <c r="L109" s="56"/>
      <c r="M109" s="47"/>
      <c r="N109" s="61"/>
      <c r="O109" s="56"/>
      <c r="P109" s="47"/>
      <c r="Q109" s="61"/>
    </row>
    <row r="110" spans="1:17" x14ac:dyDescent="0.35">
      <c r="A110" s="81"/>
      <c r="B110" s="81"/>
      <c r="C110" s="56"/>
      <c r="D110" s="47"/>
      <c r="E110" s="82"/>
      <c r="F110" s="56"/>
      <c r="G110" s="47"/>
      <c r="H110" s="61"/>
      <c r="I110" s="57"/>
      <c r="J110" s="47"/>
      <c r="K110" s="59"/>
      <c r="L110" s="56"/>
      <c r="M110" s="47"/>
      <c r="N110" s="61"/>
      <c r="O110" s="56"/>
      <c r="P110" s="47"/>
      <c r="Q110" s="61"/>
    </row>
    <row r="111" spans="1:17" x14ac:dyDescent="0.35">
      <c r="A111" s="81"/>
      <c r="B111" s="81"/>
      <c r="C111" s="56"/>
      <c r="D111" s="47"/>
      <c r="E111" s="82"/>
      <c r="F111" s="56"/>
      <c r="G111" s="47"/>
      <c r="H111" s="61"/>
      <c r="I111" s="57"/>
      <c r="J111" s="47"/>
      <c r="K111" s="59"/>
      <c r="L111" s="56"/>
      <c r="M111" s="47"/>
      <c r="N111" s="61"/>
      <c r="O111" s="56"/>
      <c r="P111" s="47"/>
      <c r="Q111" s="61"/>
    </row>
    <row r="112" spans="1:17" x14ac:dyDescent="0.35">
      <c r="A112" s="81"/>
      <c r="B112" s="81"/>
      <c r="C112" s="56"/>
      <c r="D112" s="47"/>
      <c r="E112" s="82"/>
      <c r="F112" s="56"/>
      <c r="G112" s="47"/>
      <c r="H112" s="61"/>
      <c r="I112" s="57"/>
      <c r="J112" s="47"/>
      <c r="K112" s="59"/>
      <c r="L112" s="56"/>
      <c r="M112" s="47"/>
      <c r="N112" s="61"/>
      <c r="O112" s="56"/>
      <c r="P112" s="47"/>
      <c r="Q112" s="61"/>
    </row>
    <row r="113" spans="1:17" x14ac:dyDescent="0.35">
      <c r="A113" s="81"/>
      <c r="B113" s="81"/>
      <c r="C113" s="56"/>
      <c r="D113" s="47"/>
      <c r="E113" s="82"/>
      <c r="F113" s="56"/>
      <c r="G113" s="47"/>
      <c r="H113" s="61"/>
      <c r="I113" s="57"/>
      <c r="J113" s="47"/>
      <c r="K113" s="59"/>
      <c r="L113" s="56"/>
      <c r="M113" s="47"/>
      <c r="N113" s="61"/>
      <c r="O113" s="56"/>
      <c r="P113" s="47"/>
      <c r="Q113" s="61"/>
    </row>
    <row r="114" spans="1:17" x14ac:dyDescent="0.35">
      <c r="A114" s="81"/>
      <c r="B114" s="81"/>
      <c r="C114" s="56"/>
      <c r="D114" s="47"/>
      <c r="E114" s="82"/>
      <c r="F114" s="56"/>
      <c r="G114" s="47"/>
      <c r="H114" s="61"/>
      <c r="I114" s="57"/>
      <c r="J114" s="47"/>
      <c r="K114" s="59"/>
      <c r="L114" s="56"/>
      <c r="M114" s="47"/>
      <c r="N114" s="61"/>
      <c r="O114" s="56"/>
      <c r="P114" s="47"/>
      <c r="Q114" s="61"/>
    </row>
    <row r="115" spans="1:17" x14ac:dyDescent="0.35">
      <c r="A115" s="81"/>
      <c r="B115" s="81"/>
      <c r="C115" s="56"/>
      <c r="D115" s="47"/>
      <c r="E115" s="82"/>
      <c r="F115" s="56"/>
      <c r="G115" s="47"/>
      <c r="H115" s="61"/>
      <c r="I115" s="57"/>
      <c r="J115" s="47"/>
      <c r="K115" s="59"/>
      <c r="L115" s="56"/>
      <c r="M115" s="47"/>
      <c r="N115" s="61"/>
      <c r="O115" s="56"/>
      <c r="P115" s="47"/>
      <c r="Q115" s="61"/>
    </row>
    <row r="116" spans="1:17" x14ac:dyDescent="0.35">
      <c r="A116" s="81"/>
      <c r="B116" s="81"/>
      <c r="C116" s="56"/>
      <c r="D116" s="47"/>
      <c r="E116" s="82"/>
      <c r="F116" s="56"/>
      <c r="G116" s="47"/>
      <c r="H116" s="61"/>
      <c r="I116" s="57"/>
      <c r="J116" s="47"/>
      <c r="K116" s="59"/>
      <c r="L116" s="56"/>
      <c r="M116" s="47"/>
      <c r="N116" s="61"/>
      <c r="O116" s="56"/>
      <c r="P116" s="47"/>
      <c r="Q116" s="61"/>
    </row>
    <row r="117" spans="1:17" x14ac:dyDescent="0.35">
      <c r="A117" s="81"/>
      <c r="B117" s="81"/>
      <c r="C117" s="56"/>
      <c r="D117" s="47"/>
      <c r="E117" s="82"/>
      <c r="F117" s="56"/>
      <c r="G117" s="47"/>
      <c r="H117" s="61"/>
      <c r="I117" s="57"/>
      <c r="J117" s="47"/>
      <c r="K117" s="59"/>
      <c r="L117" s="56"/>
      <c r="M117" s="47"/>
      <c r="N117" s="61"/>
      <c r="O117" s="56"/>
      <c r="P117" s="47"/>
      <c r="Q117" s="61"/>
    </row>
    <row r="118" spans="1:17" x14ac:dyDescent="0.35">
      <c r="A118" s="81"/>
      <c r="B118" s="81"/>
      <c r="C118" s="56"/>
      <c r="D118" s="47"/>
      <c r="E118" s="82"/>
      <c r="F118" s="56"/>
      <c r="G118" s="47"/>
      <c r="H118" s="61"/>
      <c r="I118" s="57"/>
      <c r="J118" s="47"/>
      <c r="K118" s="59"/>
      <c r="L118" s="56"/>
      <c r="M118" s="47"/>
      <c r="N118" s="61"/>
      <c r="O118" s="56"/>
      <c r="P118" s="47"/>
      <c r="Q118" s="61"/>
    </row>
    <row r="119" spans="1:17" x14ac:dyDescent="0.35">
      <c r="A119" s="81"/>
      <c r="B119" s="81"/>
      <c r="C119" s="56"/>
      <c r="D119" s="47"/>
      <c r="E119" s="82"/>
      <c r="F119" s="56"/>
      <c r="G119" s="47"/>
      <c r="H119" s="61"/>
      <c r="I119" s="57"/>
      <c r="J119" s="47"/>
      <c r="K119" s="59"/>
      <c r="L119" s="56"/>
      <c r="M119" s="47"/>
      <c r="N119" s="61"/>
      <c r="O119" s="56"/>
      <c r="P119" s="47"/>
      <c r="Q119" s="61"/>
    </row>
    <row r="120" spans="1:17" x14ac:dyDescent="0.35">
      <c r="A120" s="81"/>
      <c r="B120" s="81"/>
      <c r="C120" s="56"/>
      <c r="D120" s="47"/>
      <c r="E120" s="82"/>
      <c r="F120" s="56"/>
      <c r="G120" s="47"/>
      <c r="H120" s="61"/>
      <c r="I120" s="57"/>
      <c r="J120" s="47"/>
      <c r="K120" s="59"/>
      <c r="L120" s="56"/>
      <c r="M120" s="47"/>
      <c r="N120" s="61"/>
      <c r="O120" s="56"/>
      <c r="P120" s="47"/>
      <c r="Q120" s="61"/>
    </row>
    <row r="121" spans="1:17" x14ac:dyDescent="0.35">
      <c r="A121" s="81"/>
      <c r="B121" s="81"/>
      <c r="C121" s="56"/>
      <c r="D121" s="47"/>
      <c r="E121" s="82"/>
      <c r="F121" s="56"/>
      <c r="G121" s="47"/>
      <c r="H121" s="61"/>
      <c r="I121" s="57"/>
      <c r="J121" s="47"/>
      <c r="K121" s="59"/>
      <c r="L121" s="56"/>
      <c r="M121" s="47"/>
      <c r="N121" s="61"/>
      <c r="O121" s="56"/>
      <c r="P121" s="47"/>
      <c r="Q121" s="61"/>
    </row>
    <row r="122" spans="1:17" x14ac:dyDescent="0.35">
      <c r="A122" s="81"/>
      <c r="B122" s="81"/>
      <c r="C122" s="56"/>
      <c r="D122" s="47"/>
      <c r="E122" s="82"/>
      <c r="F122" s="56"/>
      <c r="G122" s="47"/>
      <c r="H122" s="61"/>
      <c r="I122" s="57"/>
      <c r="J122" s="47"/>
      <c r="K122" s="59"/>
      <c r="L122" s="56"/>
      <c r="M122" s="47"/>
      <c r="N122" s="61"/>
      <c r="O122" s="56"/>
      <c r="P122" s="47"/>
      <c r="Q122" s="61"/>
    </row>
    <row r="123" spans="1:17" x14ac:dyDescent="0.35">
      <c r="A123" s="81"/>
      <c r="B123" s="81"/>
      <c r="C123" s="56"/>
      <c r="D123" s="47"/>
      <c r="E123" s="82"/>
      <c r="F123" s="56"/>
      <c r="G123" s="47"/>
      <c r="H123" s="61"/>
      <c r="I123" s="57"/>
      <c r="J123" s="47"/>
      <c r="K123" s="59"/>
      <c r="L123" s="56"/>
      <c r="M123" s="47"/>
      <c r="N123" s="61"/>
      <c r="O123" s="56"/>
      <c r="P123" s="47"/>
      <c r="Q123" s="61"/>
    </row>
    <row r="124" spans="1:17" x14ac:dyDescent="0.35">
      <c r="A124" s="81"/>
      <c r="B124" s="81"/>
      <c r="C124" s="56"/>
      <c r="D124" s="47"/>
      <c r="E124" s="82"/>
      <c r="F124" s="56"/>
      <c r="G124" s="47"/>
      <c r="H124" s="61"/>
      <c r="I124" s="57"/>
      <c r="J124" s="47"/>
      <c r="K124" s="59"/>
      <c r="L124" s="56"/>
      <c r="M124" s="47"/>
      <c r="N124" s="61"/>
      <c r="O124" s="56"/>
      <c r="P124" s="47"/>
      <c r="Q124" s="61"/>
    </row>
    <row r="125" spans="1:17" x14ac:dyDescent="0.35">
      <c r="A125" s="81"/>
      <c r="B125" s="81"/>
      <c r="C125" s="56"/>
      <c r="D125" s="47"/>
      <c r="E125" s="82"/>
      <c r="F125" s="56"/>
      <c r="G125" s="47"/>
      <c r="H125" s="61"/>
      <c r="I125" s="57"/>
      <c r="J125" s="47"/>
      <c r="K125" s="59"/>
      <c r="L125" s="56"/>
      <c r="M125" s="47"/>
      <c r="N125" s="61"/>
      <c r="O125" s="56"/>
      <c r="P125" s="47"/>
      <c r="Q125" s="61"/>
    </row>
    <row r="126" spans="1:17" x14ac:dyDescent="0.35">
      <c r="A126" s="81"/>
      <c r="B126" s="81"/>
      <c r="C126" s="56"/>
      <c r="D126" s="47"/>
      <c r="E126" s="82"/>
      <c r="F126" s="56"/>
      <c r="G126" s="47"/>
      <c r="H126" s="61"/>
      <c r="I126" s="57"/>
      <c r="J126" s="47"/>
      <c r="K126" s="59"/>
      <c r="L126" s="56"/>
      <c r="M126" s="47"/>
      <c r="N126" s="61"/>
      <c r="O126" s="56"/>
      <c r="P126" s="47"/>
      <c r="Q126" s="61"/>
    </row>
    <row r="127" spans="1:17" x14ac:dyDescent="0.35">
      <c r="A127" s="81"/>
      <c r="B127" s="81"/>
      <c r="C127" s="56"/>
      <c r="D127" s="47"/>
      <c r="E127" s="82"/>
      <c r="F127" s="56"/>
      <c r="G127" s="47"/>
      <c r="H127" s="61"/>
      <c r="I127" s="57"/>
      <c r="J127" s="47"/>
      <c r="K127" s="59"/>
      <c r="L127" s="56"/>
      <c r="M127" s="47"/>
      <c r="N127" s="61"/>
      <c r="O127" s="56"/>
      <c r="P127" s="47"/>
      <c r="Q127" s="61"/>
    </row>
  </sheetData>
  <mergeCells count="5">
    <mergeCell ref="C1:E1"/>
    <mergeCell ref="F1:H1"/>
    <mergeCell ref="I1:K1"/>
    <mergeCell ref="L1:N1"/>
    <mergeCell ref="O1:Q1"/>
  </mergeCells>
  <hyperlinks>
    <hyperlink ref="A38" r:id="rId1"/>
    <hyperlink ref="A34" r:id="rId2"/>
    <hyperlink ref="A36" r:id="rId3"/>
    <hyperlink ref="A47" r:id="rId4"/>
    <hyperlink ref="A32" r:id="rId5"/>
    <hyperlink ref="A54" r:id="rId6"/>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C14" sqref="C14"/>
    </sheetView>
  </sheetViews>
  <sheetFormatPr defaultRowHeight="14.5" x14ac:dyDescent="0.35"/>
  <cols>
    <col min="2" max="2" width="75.1796875" bestFit="1" customWidth="1"/>
  </cols>
  <sheetData>
    <row r="1" spans="1:2" x14ac:dyDescent="0.35">
      <c r="A1" t="s">
        <v>293</v>
      </c>
    </row>
    <row r="3" spans="1:2" x14ac:dyDescent="0.35">
      <c r="A3">
        <v>1</v>
      </c>
      <c r="B3" t="s">
        <v>294</v>
      </c>
    </row>
    <row r="4" spans="1:2" x14ac:dyDescent="0.35">
      <c r="A4">
        <f t="shared" ref="A4:A5" si="0">1+A3</f>
        <v>2</v>
      </c>
      <c r="B4" t="s">
        <v>295</v>
      </c>
    </row>
    <row r="5" spans="1:2" x14ac:dyDescent="0.35">
      <c r="A5">
        <f t="shared" si="0"/>
        <v>3</v>
      </c>
      <c r="B5" t="s">
        <v>296</v>
      </c>
    </row>
    <row r="6" spans="1:2" x14ac:dyDescent="0.35">
      <c r="A6">
        <f>1+A5</f>
        <v>4</v>
      </c>
      <c r="B6" t="s">
        <v>297</v>
      </c>
    </row>
    <row r="7" spans="1:2" x14ac:dyDescent="0.35">
      <c r="A7">
        <f t="shared" ref="A7:A24" si="1">1+A6</f>
        <v>5</v>
      </c>
      <c r="B7" t="s">
        <v>298</v>
      </c>
    </row>
    <row r="8" spans="1:2" x14ac:dyDescent="0.35">
      <c r="A8">
        <f t="shared" si="1"/>
        <v>6</v>
      </c>
      <c r="B8" t="s">
        <v>299</v>
      </c>
    </row>
    <row r="9" spans="1:2" x14ac:dyDescent="0.35">
      <c r="A9">
        <f t="shared" si="1"/>
        <v>7</v>
      </c>
    </row>
    <row r="10" spans="1:2" x14ac:dyDescent="0.35">
      <c r="A10">
        <f t="shared" si="1"/>
        <v>8</v>
      </c>
    </row>
    <row r="11" spans="1:2" x14ac:dyDescent="0.35">
      <c r="A11">
        <f t="shared" si="1"/>
        <v>9</v>
      </c>
    </row>
    <row r="12" spans="1:2" x14ac:dyDescent="0.35">
      <c r="A12">
        <f t="shared" si="1"/>
        <v>10</v>
      </c>
    </row>
    <row r="13" spans="1:2" x14ac:dyDescent="0.35">
      <c r="A13">
        <f t="shared" si="1"/>
        <v>11</v>
      </c>
      <c r="B13" t="s">
        <v>300</v>
      </c>
    </row>
    <row r="14" spans="1:2" x14ac:dyDescent="0.35">
      <c r="A14">
        <f t="shared" si="1"/>
        <v>12</v>
      </c>
      <c r="B14" t="s">
        <v>301</v>
      </c>
    </row>
    <row r="15" spans="1:2" x14ac:dyDescent="0.35">
      <c r="A15">
        <f t="shared" si="1"/>
        <v>13</v>
      </c>
      <c r="B15" t="s">
        <v>302</v>
      </c>
    </row>
    <row r="16" spans="1:2" x14ac:dyDescent="0.35">
      <c r="A16">
        <f t="shared" si="1"/>
        <v>14</v>
      </c>
      <c r="B16" t="s">
        <v>303</v>
      </c>
    </row>
    <row r="17" spans="1:2" x14ac:dyDescent="0.35">
      <c r="A17">
        <f t="shared" si="1"/>
        <v>15</v>
      </c>
    </row>
    <row r="18" spans="1:2" x14ac:dyDescent="0.35">
      <c r="A18">
        <f t="shared" si="1"/>
        <v>16</v>
      </c>
    </row>
    <row r="19" spans="1:2" x14ac:dyDescent="0.35">
      <c r="A19">
        <f t="shared" si="1"/>
        <v>17</v>
      </c>
      <c r="B19" t="s">
        <v>304</v>
      </c>
    </row>
    <row r="20" spans="1:2" x14ac:dyDescent="0.35">
      <c r="A20">
        <f t="shared" si="1"/>
        <v>18</v>
      </c>
      <c r="B20" t="s">
        <v>305</v>
      </c>
    </row>
    <row r="21" spans="1:2" x14ac:dyDescent="0.35">
      <c r="A21">
        <f t="shared" si="1"/>
        <v>19</v>
      </c>
    </row>
    <row r="22" spans="1:2" x14ac:dyDescent="0.35">
      <c r="A22">
        <f t="shared" si="1"/>
        <v>20</v>
      </c>
    </row>
    <row r="23" spans="1:2" x14ac:dyDescent="0.35">
      <c r="A23">
        <f t="shared" si="1"/>
        <v>21</v>
      </c>
      <c r="B23" t="s">
        <v>306</v>
      </c>
    </row>
    <row r="24" spans="1:2" x14ac:dyDescent="0.35">
      <c r="A24">
        <f t="shared" si="1"/>
        <v>22</v>
      </c>
      <c r="B24" t="s">
        <v>307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30"/>
  <sheetViews>
    <sheetView workbookViewId="0">
      <selection activeCell="B11" sqref="B11"/>
    </sheetView>
  </sheetViews>
  <sheetFormatPr defaultRowHeight="14.5" x14ac:dyDescent="0.35"/>
  <cols>
    <col min="2" max="2" width="16.1796875" style="45" bestFit="1" customWidth="1"/>
  </cols>
  <sheetData>
    <row r="3" spans="2:2" x14ac:dyDescent="0.35">
      <c r="B3" s="64" t="s">
        <v>89</v>
      </c>
    </row>
    <row r="4" spans="2:2" x14ac:dyDescent="0.35">
      <c r="B4" s="65"/>
    </row>
    <row r="5" spans="2:2" x14ac:dyDescent="0.35">
      <c r="B5" s="46" t="s">
        <v>93</v>
      </c>
    </row>
    <row r="6" spans="2:2" x14ac:dyDescent="0.35">
      <c r="B6" s="46" t="s">
        <v>92</v>
      </c>
    </row>
    <row r="7" spans="2:2" x14ac:dyDescent="0.35">
      <c r="B7" s="46" t="s">
        <v>108</v>
      </c>
    </row>
    <row r="8" spans="2:2" x14ac:dyDescent="0.35">
      <c r="B8" s="46" t="s">
        <v>91</v>
      </c>
    </row>
    <row r="9" spans="2:2" x14ac:dyDescent="0.35">
      <c r="B9" s="46" t="s">
        <v>94</v>
      </c>
    </row>
    <row r="10" spans="2:2" x14ac:dyDescent="0.35">
      <c r="B10" s="46" t="s">
        <v>114</v>
      </c>
    </row>
    <row r="11" spans="2:2" x14ac:dyDescent="0.35">
      <c r="B11" s="46" t="s">
        <v>102</v>
      </c>
    </row>
    <row r="12" spans="2:2" x14ac:dyDescent="0.35">
      <c r="B12" s="46" t="s">
        <v>101</v>
      </c>
    </row>
    <row r="13" spans="2:2" x14ac:dyDescent="0.35">
      <c r="B13" s="46" t="s">
        <v>103</v>
      </c>
    </row>
    <row r="14" spans="2:2" x14ac:dyDescent="0.35">
      <c r="B14" s="46"/>
    </row>
    <row r="15" spans="2:2" x14ac:dyDescent="0.35">
      <c r="B15" s="46"/>
    </row>
    <row r="16" spans="2:2" x14ac:dyDescent="0.35">
      <c r="B16" s="46"/>
    </row>
    <row r="17" spans="2:2" x14ac:dyDescent="0.35">
      <c r="B17" s="46"/>
    </row>
    <row r="18" spans="2:2" x14ac:dyDescent="0.35">
      <c r="B18" s="46"/>
    </row>
    <row r="19" spans="2:2" x14ac:dyDescent="0.35">
      <c r="B19" s="46"/>
    </row>
    <row r="20" spans="2:2" x14ac:dyDescent="0.35">
      <c r="B20" s="46"/>
    </row>
    <row r="21" spans="2:2" x14ac:dyDescent="0.35">
      <c r="B21" s="46"/>
    </row>
    <row r="22" spans="2:2" x14ac:dyDescent="0.35">
      <c r="B22" s="46"/>
    </row>
    <row r="23" spans="2:2" x14ac:dyDescent="0.35">
      <c r="B23" s="46"/>
    </row>
    <row r="24" spans="2:2" x14ac:dyDescent="0.35">
      <c r="B24" s="46"/>
    </row>
    <row r="25" spans="2:2" x14ac:dyDescent="0.35">
      <c r="B25" s="46"/>
    </row>
    <row r="26" spans="2:2" x14ac:dyDescent="0.35">
      <c r="B26" s="46"/>
    </row>
    <row r="27" spans="2:2" x14ac:dyDescent="0.35">
      <c r="B27" s="46"/>
    </row>
    <row r="28" spans="2:2" x14ac:dyDescent="0.35">
      <c r="B28" s="46"/>
    </row>
    <row r="29" spans="2:2" x14ac:dyDescent="0.35">
      <c r="B29" s="46"/>
    </row>
    <row r="30" spans="2:2" x14ac:dyDescent="0.35">
      <c r="B30" s="4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2"/>
  <sheetViews>
    <sheetView topLeftCell="B1" workbookViewId="0">
      <selection activeCell="M31" sqref="M31"/>
    </sheetView>
  </sheetViews>
  <sheetFormatPr defaultRowHeight="14.5" x14ac:dyDescent="0.35"/>
  <cols>
    <col min="1" max="1" width="6.54296875" customWidth="1"/>
    <col min="2" max="2" width="16.36328125" customWidth="1"/>
    <col min="3" max="3" width="17.1796875" customWidth="1"/>
    <col min="4" max="4" width="8.26953125" bestFit="1" customWidth="1"/>
    <col min="6" max="6" width="11.08984375" style="44" customWidth="1"/>
    <col min="7" max="7" width="2" style="44" customWidth="1"/>
    <col min="8" max="8" width="19.6328125" style="44" customWidth="1"/>
    <col min="9" max="9" width="15.1796875" bestFit="1" customWidth="1"/>
    <col min="10" max="10" width="12.81640625" style="45" customWidth="1"/>
    <col min="11" max="11" width="15.6328125" style="119" bestFit="1" customWidth="1"/>
    <col min="12" max="12" width="10" style="119" bestFit="1" customWidth="1"/>
    <col min="13" max="13" width="15.6328125" style="45" bestFit="1" customWidth="1"/>
    <col min="14" max="14" width="14.08984375" style="45" bestFit="1" customWidth="1"/>
    <col min="15" max="15" width="15.6328125" style="44" bestFit="1" customWidth="1"/>
    <col min="16" max="16" width="11.6328125" style="44" customWidth="1"/>
    <col min="17" max="17" width="16.54296875" bestFit="1" customWidth="1"/>
    <col min="23" max="23" width="11.81640625" bestFit="1" customWidth="1"/>
  </cols>
  <sheetData>
    <row r="1" spans="2:23" ht="24.5" customHeight="1" x14ac:dyDescent="0.35">
      <c r="B1" s="615" t="s">
        <v>308</v>
      </c>
      <c r="C1" s="615"/>
      <c r="D1" s="615"/>
      <c r="E1" s="615"/>
      <c r="F1" s="615"/>
    </row>
    <row r="2" spans="2:23" x14ac:dyDescent="0.35">
      <c r="B2" s="170" t="s">
        <v>309</v>
      </c>
      <c r="C2" s="616" t="s">
        <v>311</v>
      </c>
      <c r="D2" s="616"/>
      <c r="E2" s="616"/>
      <c r="F2" s="617"/>
      <c r="H2" s="622" t="s">
        <v>344</v>
      </c>
      <c r="I2" s="623"/>
      <c r="J2" s="623"/>
      <c r="K2" s="623"/>
      <c r="L2" s="623"/>
      <c r="M2" s="623"/>
      <c r="N2" s="623"/>
      <c r="O2" s="623"/>
      <c r="P2" s="624"/>
    </row>
    <row r="3" spans="2:23" x14ac:dyDescent="0.35">
      <c r="H3" s="175"/>
      <c r="I3" s="625" t="s">
        <v>350</v>
      </c>
      <c r="J3" s="626"/>
      <c r="K3" s="627" t="s">
        <v>348</v>
      </c>
      <c r="L3" s="628"/>
      <c r="M3" s="625" t="s">
        <v>349</v>
      </c>
      <c r="N3" s="626"/>
      <c r="O3" s="627" t="s">
        <v>345</v>
      </c>
      <c r="P3" s="626"/>
    </row>
    <row r="4" spans="2:23" x14ac:dyDescent="0.35">
      <c r="B4" s="188"/>
      <c r="C4" s="189" t="s">
        <v>353</v>
      </c>
      <c r="D4" s="160">
        <v>25</v>
      </c>
      <c r="E4" s="14" t="s">
        <v>323</v>
      </c>
      <c r="H4" s="194" t="s">
        <v>340</v>
      </c>
      <c r="I4" s="171" t="s">
        <v>338</v>
      </c>
      <c r="J4" s="172" t="s">
        <v>339</v>
      </c>
      <c r="K4" s="173" t="s">
        <v>338</v>
      </c>
      <c r="L4" s="174" t="s">
        <v>339</v>
      </c>
      <c r="M4" s="171" t="s">
        <v>338</v>
      </c>
      <c r="N4" s="172" t="s">
        <v>339</v>
      </c>
      <c r="O4" s="173" t="s">
        <v>338</v>
      </c>
      <c r="P4" s="172" t="s">
        <v>339</v>
      </c>
    </row>
    <row r="5" spans="2:23" x14ac:dyDescent="0.35">
      <c r="B5" s="190"/>
      <c r="C5" s="191" t="s">
        <v>364</v>
      </c>
      <c r="D5" s="42">
        <v>18</v>
      </c>
      <c r="E5" s="161" t="s">
        <v>323</v>
      </c>
      <c r="H5" s="176" t="s">
        <v>341</v>
      </c>
      <c r="I5" s="215">
        <f>$M$5/$D$10</f>
        <v>0.91904091394789122</v>
      </c>
      <c r="J5" s="216">
        <f>$N$5/$D$10</f>
        <v>0.91904091394789122</v>
      </c>
      <c r="K5" s="215">
        <f>$M$5/$D$16</f>
        <v>2.2976022848697282</v>
      </c>
      <c r="L5" s="217">
        <f>$N$5/$D$17</f>
        <v>0.91904091394789122</v>
      </c>
      <c r="M5" s="218">
        <f>F22</f>
        <v>92.029999999999987</v>
      </c>
      <c r="N5" s="217">
        <f>F22</f>
        <v>92.029999999999987</v>
      </c>
      <c r="O5" s="215">
        <f>M5*$D$11</f>
        <v>552.17999999999995</v>
      </c>
      <c r="P5" s="217">
        <f>N5*$D$11</f>
        <v>552.17999999999995</v>
      </c>
      <c r="Q5" s="45"/>
      <c r="R5" s="45"/>
      <c r="S5" s="45"/>
      <c r="T5" s="45"/>
      <c r="U5" s="45"/>
      <c r="V5" s="45"/>
      <c r="W5" s="45"/>
    </row>
    <row r="6" spans="2:23" x14ac:dyDescent="0.35">
      <c r="B6" s="190"/>
      <c r="C6" s="191" t="s">
        <v>365</v>
      </c>
      <c r="D6" s="42">
        <v>32</v>
      </c>
      <c r="E6" s="124" t="s">
        <v>323</v>
      </c>
      <c r="H6" s="195" t="s">
        <v>371</v>
      </c>
      <c r="I6" s="219">
        <f>$M$6/$D$10</f>
        <v>3.2848066748554472</v>
      </c>
      <c r="J6" s="220">
        <f>$N$6/$D$10</f>
        <v>4.1060083435693091</v>
      </c>
      <c r="K6" s="219">
        <f>$M$6/$D$16</f>
        <v>8.2120166871386182</v>
      </c>
      <c r="L6" s="221">
        <f>$N$6/$D$17</f>
        <v>4.1060083435693091</v>
      </c>
      <c r="M6" s="222">
        <f>$F$21*$D$12</f>
        <v>328.93068599999992</v>
      </c>
      <c r="N6" s="221">
        <f>M6*$D$13</f>
        <v>411.1633574999999</v>
      </c>
      <c r="O6" s="219">
        <f t="shared" ref="O6:O14" si="0">M6*$D$11</f>
        <v>1973.5841159999995</v>
      </c>
      <c r="P6" s="221">
        <f t="shared" ref="P6:P14" si="1">N6*$D$11</f>
        <v>2466.9801449999995</v>
      </c>
      <c r="Q6" s="45"/>
      <c r="R6" s="45"/>
      <c r="S6" s="45"/>
      <c r="T6" s="45"/>
      <c r="U6" s="45"/>
      <c r="V6" s="45"/>
      <c r="W6" s="45"/>
    </row>
    <row r="7" spans="2:23" x14ac:dyDescent="0.35">
      <c r="B7" s="190"/>
      <c r="C7" s="191" t="s">
        <v>367</v>
      </c>
      <c r="D7" s="42">
        <v>14</v>
      </c>
      <c r="E7" s="161" t="s">
        <v>323</v>
      </c>
      <c r="F7" s="118"/>
      <c r="G7" s="118"/>
      <c r="H7" s="196" t="s">
        <v>372</v>
      </c>
      <c r="I7" s="126">
        <f>$M$7/$D$10</f>
        <v>2.117399163146489</v>
      </c>
      <c r="J7" s="127">
        <f>$N$7/$D$10</f>
        <v>2.2678711165702983</v>
      </c>
      <c r="K7" s="126">
        <f>$M$7/$D$16</f>
        <v>5.2934979078662225</v>
      </c>
      <c r="L7" s="132">
        <f>$N$7/$D$17</f>
        <v>2.2678711165702983</v>
      </c>
      <c r="M7" s="128">
        <f>SUM(F42,F46)+M5</f>
        <v>212.02999999999997</v>
      </c>
      <c r="N7" s="132">
        <f>J21</f>
        <v>227.09780999999998</v>
      </c>
      <c r="O7" s="126">
        <f t="shared" si="0"/>
        <v>1272.1799999999998</v>
      </c>
      <c r="P7" s="132">
        <f t="shared" si="1"/>
        <v>1362.5868599999999</v>
      </c>
      <c r="Q7" s="45"/>
      <c r="R7" s="45"/>
      <c r="S7" s="45"/>
      <c r="T7" s="45"/>
      <c r="U7" s="45"/>
      <c r="V7" s="45"/>
      <c r="W7" s="45"/>
    </row>
    <row r="8" spans="2:23" x14ac:dyDescent="0.35">
      <c r="B8" s="190"/>
      <c r="C8" s="191" t="s">
        <v>366</v>
      </c>
      <c r="D8" s="42">
        <v>25</v>
      </c>
      <c r="E8" s="124" t="s">
        <v>323</v>
      </c>
      <c r="H8" s="213" t="s">
        <v>361</v>
      </c>
      <c r="I8" s="129">
        <f>$M$8/$D$10</f>
        <v>0.82553568278125644</v>
      </c>
      <c r="J8" s="130">
        <f>$N$8/$D$10</f>
        <v>0.82553568278125644</v>
      </c>
      <c r="K8" s="129">
        <f>$M$8/$D$16</f>
        <v>2.063839206953141</v>
      </c>
      <c r="L8" s="133">
        <f>$N$8/$D$17</f>
        <v>0.82553568278125644</v>
      </c>
      <c r="M8" s="131">
        <f>F42</f>
        <v>82.666666666666671</v>
      </c>
      <c r="N8" s="133">
        <f>J42</f>
        <v>82.666666666666671</v>
      </c>
      <c r="O8" s="129">
        <f t="shared" si="0"/>
        <v>496</v>
      </c>
      <c r="P8" s="133">
        <f t="shared" si="1"/>
        <v>496</v>
      </c>
      <c r="Q8" s="45"/>
      <c r="R8" s="45"/>
      <c r="S8" s="45"/>
      <c r="T8" s="45"/>
      <c r="U8" s="45"/>
      <c r="V8" s="45"/>
      <c r="W8" s="45"/>
    </row>
    <row r="9" spans="2:23" x14ac:dyDescent="0.35">
      <c r="B9" s="190"/>
      <c r="C9" s="191" t="s">
        <v>351</v>
      </c>
      <c r="D9" s="162">
        <v>0.13</v>
      </c>
      <c r="E9" s="163"/>
      <c r="F9" s="118"/>
      <c r="G9" s="118"/>
      <c r="H9" s="213" t="s">
        <v>362</v>
      </c>
      <c r="I9" s="129">
        <f>$M$9/$D$10</f>
        <v>0.37282256641734152</v>
      </c>
      <c r="J9" s="130">
        <f>$N$9/$D$10</f>
        <v>0.37282256641734152</v>
      </c>
      <c r="K9" s="129">
        <f>$M$9/$D$16</f>
        <v>0.93205641604335376</v>
      </c>
      <c r="L9" s="133">
        <f>$N$9/$D$17</f>
        <v>0.37282256641734152</v>
      </c>
      <c r="M9" s="131">
        <f>F46</f>
        <v>37.333333333333329</v>
      </c>
      <c r="N9" s="133">
        <f>J46</f>
        <v>37.333333333333329</v>
      </c>
      <c r="O9" s="129">
        <f t="shared" si="0"/>
        <v>223.99999999999997</v>
      </c>
      <c r="P9" s="133">
        <f t="shared" si="1"/>
        <v>223.99999999999997</v>
      </c>
      <c r="Q9" s="45"/>
      <c r="R9" s="45"/>
      <c r="S9" s="45"/>
      <c r="T9" s="45"/>
      <c r="U9" s="45"/>
      <c r="V9" s="45"/>
      <c r="W9" s="45"/>
    </row>
    <row r="10" spans="2:23" x14ac:dyDescent="0.35">
      <c r="B10" s="620" t="s">
        <v>356</v>
      </c>
      <c r="C10" s="621"/>
      <c r="D10" s="164">
        <f>SUM(D23:D35)*(1-$D$9)</f>
        <v>100.137</v>
      </c>
      <c r="E10" s="165" t="s">
        <v>21</v>
      </c>
      <c r="H10" s="214" t="s">
        <v>363</v>
      </c>
      <c r="I10" s="197">
        <f>$M$10/$D$10</f>
        <v>5.2000000000000005E-2</v>
      </c>
      <c r="J10" s="198">
        <f>$N$10/$D$10</f>
        <v>0.13</v>
      </c>
      <c r="K10" s="197">
        <f>$M$10/$D$16</f>
        <v>0.13</v>
      </c>
      <c r="L10" s="199">
        <f>$N$10/$D$17</f>
        <v>0.13</v>
      </c>
      <c r="M10" s="200">
        <f>F37</f>
        <v>5.2071240000000003</v>
      </c>
      <c r="N10" s="199">
        <f>J37</f>
        <v>13.017810000000001</v>
      </c>
      <c r="O10" s="197">
        <f t="shared" si="0"/>
        <v>31.242744000000002</v>
      </c>
      <c r="P10" s="199">
        <f t="shared" si="1"/>
        <v>78.106860000000012</v>
      </c>
    </row>
    <row r="11" spans="2:23" x14ac:dyDescent="0.35">
      <c r="B11" s="620" t="s">
        <v>337</v>
      </c>
      <c r="C11" s="621"/>
      <c r="D11" s="166">
        <v>6</v>
      </c>
      <c r="E11" s="163"/>
      <c r="H11" s="201" t="s">
        <v>373</v>
      </c>
      <c r="I11" s="202">
        <f>$M$11/$D$10</f>
        <v>1.1674075117089582</v>
      </c>
      <c r="J11" s="203">
        <f>$N$11/$D$10</f>
        <v>1.8381372269990106</v>
      </c>
      <c r="K11" s="202">
        <f>$M$11/$D$16</f>
        <v>2.9185187792723957</v>
      </c>
      <c r="L11" s="204">
        <f>$N$11/$D$17</f>
        <v>1.8381372269990106</v>
      </c>
      <c r="M11" s="205">
        <f>M6-M7</f>
        <v>116.90068599999995</v>
      </c>
      <c r="N11" s="204">
        <f>N6-N7</f>
        <v>184.06554749999992</v>
      </c>
      <c r="O11" s="202">
        <f t="shared" si="0"/>
        <v>701.4041159999997</v>
      </c>
      <c r="P11" s="204">
        <f t="shared" si="1"/>
        <v>1104.3932849999997</v>
      </c>
    </row>
    <row r="12" spans="2:23" x14ac:dyDescent="0.35">
      <c r="B12" s="190"/>
      <c r="C12" s="191" t="s">
        <v>331</v>
      </c>
      <c r="D12" s="167">
        <v>1.5</v>
      </c>
      <c r="E12" s="124" t="s">
        <v>336</v>
      </c>
      <c r="H12" s="211" t="s">
        <v>342</v>
      </c>
      <c r="I12" s="126">
        <f>$M$12/$D$10</f>
        <v>1.198358249198598</v>
      </c>
      <c r="J12" s="127">
        <f>$N$12/$D$10</f>
        <v>1.198358249198598</v>
      </c>
      <c r="K12" s="126">
        <f>$M$12/$D$16</f>
        <v>2.9958956229964948</v>
      </c>
      <c r="L12" s="132">
        <f>$N$12/$D$17</f>
        <v>1.198358249198598</v>
      </c>
      <c r="M12" s="128">
        <f>SUM(F42,F46)</f>
        <v>120</v>
      </c>
      <c r="N12" s="132">
        <f>SUM(J42,J46,)</f>
        <v>120</v>
      </c>
      <c r="O12" s="126">
        <f t="shared" si="0"/>
        <v>720</v>
      </c>
      <c r="P12" s="132">
        <f t="shared" si="1"/>
        <v>720</v>
      </c>
    </row>
    <row r="13" spans="2:23" x14ac:dyDescent="0.35">
      <c r="B13" s="190"/>
      <c r="C13" s="191" t="s">
        <v>332</v>
      </c>
      <c r="D13" s="167">
        <f>1.25</f>
        <v>1.25</v>
      </c>
      <c r="E13" s="124" t="s">
        <v>336</v>
      </c>
      <c r="H13" s="177" t="s">
        <v>352</v>
      </c>
      <c r="I13" s="129">
        <f>$M$13/$D$10</f>
        <v>0.9220700973000322</v>
      </c>
      <c r="J13" s="130">
        <f>$N$13/$D$10</f>
        <v>0.9220700973000322</v>
      </c>
      <c r="K13" s="129">
        <f>$M$13/$D$16</f>
        <v>2.3051752432500807</v>
      </c>
      <c r="L13" s="133">
        <f>$N$13/$D$17</f>
        <v>0.9220700973000322</v>
      </c>
      <c r="M13" s="131">
        <f>SUM(E42,E46)</f>
        <v>92.333333333333329</v>
      </c>
      <c r="N13" s="133">
        <f>SUM(I42,I46)</f>
        <v>92.333333333333329</v>
      </c>
      <c r="O13" s="129">
        <f t="shared" si="0"/>
        <v>554</v>
      </c>
      <c r="P13" s="133">
        <f t="shared" si="1"/>
        <v>554</v>
      </c>
    </row>
    <row r="14" spans="2:23" x14ac:dyDescent="0.35">
      <c r="B14" s="190"/>
      <c r="C14" s="191" t="s">
        <v>355</v>
      </c>
      <c r="D14" s="116">
        <v>2.5</v>
      </c>
      <c r="E14" s="124" t="s">
        <v>21</v>
      </c>
      <c r="H14" s="212" t="s">
        <v>343</v>
      </c>
      <c r="I14" s="197">
        <f>$M$14/$D$10</f>
        <v>0.2762881518985657</v>
      </c>
      <c r="J14" s="198">
        <f>$N$14/$D$10</f>
        <v>0.2762881518985657</v>
      </c>
      <c r="K14" s="197">
        <f>$M$14/$D$16</f>
        <v>0.6907203797464142</v>
      </c>
      <c r="L14" s="199">
        <f>$N$14/$D$17</f>
        <v>0.2762881518985657</v>
      </c>
      <c r="M14" s="200">
        <f>M12-M13</f>
        <v>27.666666666666671</v>
      </c>
      <c r="N14" s="199">
        <f>N12-N13</f>
        <v>27.666666666666671</v>
      </c>
      <c r="O14" s="197">
        <f t="shared" si="0"/>
        <v>166.00000000000003</v>
      </c>
      <c r="P14" s="199">
        <f t="shared" si="1"/>
        <v>166.00000000000003</v>
      </c>
    </row>
    <row r="15" spans="2:23" x14ac:dyDescent="0.35">
      <c r="B15" s="190"/>
      <c r="C15" s="191" t="s">
        <v>354</v>
      </c>
      <c r="D15" s="116">
        <v>1</v>
      </c>
      <c r="E15" s="124" t="s">
        <v>21</v>
      </c>
      <c r="H15" s="206" t="s">
        <v>377</v>
      </c>
      <c r="I15" s="207">
        <f t="shared" ref="I15:P15" si="2">I12/(I5+I11)</f>
        <v>0.57435316131590197</v>
      </c>
      <c r="J15" s="208">
        <f t="shared" si="2"/>
        <v>0.43463214487368745</v>
      </c>
      <c r="K15" s="207">
        <f t="shared" si="2"/>
        <v>0.57435316131590186</v>
      </c>
      <c r="L15" s="209">
        <f t="shared" si="2"/>
        <v>0.43463214487368745</v>
      </c>
      <c r="M15" s="210">
        <f t="shared" si="2"/>
        <v>0.57435316131590186</v>
      </c>
      <c r="N15" s="210">
        <f t="shared" si="2"/>
        <v>0.4346321448736874</v>
      </c>
      <c r="O15" s="210">
        <f t="shared" si="2"/>
        <v>0.57435316131590186</v>
      </c>
      <c r="P15" s="223">
        <f t="shared" si="2"/>
        <v>0.4346321448736874</v>
      </c>
    </row>
    <row r="16" spans="2:23" x14ac:dyDescent="0.35">
      <c r="B16" s="190"/>
      <c r="C16" s="191" t="s">
        <v>359</v>
      </c>
      <c r="D16" s="164">
        <f>D10/D14</f>
        <v>40.0548</v>
      </c>
      <c r="E16" s="165" t="s">
        <v>21</v>
      </c>
      <c r="H16" s="176" t="s">
        <v>374</v>
      </c>
      <c r="I16" s="215">
        <f>I14+I11</f>
        <v>1.443695663607524</v>
      </c>
      <c r="J16" s="216">
        <f t="shared" ref="J16:P16" si="3">J14+J11</f>
        <v>2.1144253788975762</v>
      </c>
      <c r="K16" s="215">
        <f t="shared" si="3"/>
        <v>3.6092391590188098</v>
      </c>
      <c r="L16" s="217">
        <f t="shared" si="3"/>
        <v>2.1144253788975762</v>
      </c>
      <c r="M16" s="218">
        <f t="shared" si="3"/>
        <v>144.56735266666664</v>
      </c>
      <c r="N16" s="217">
        <f t="shared" si="3"/>
        <v>211.73221416666661</v>
      </c>
      <c r="O16" s="215">
        <f t="shared" si="3"/>
        <v>867.4041159999997</v>
      </c>
      <c r="P16" s="217">
        <f t="shared" si="3"/>
        <v>1270.3932849999997</v>
      </c>
    </row>
    <row r="17" spans="2:16" x14ac:dyDescent="0.35">
      <c r="B17" s="192"/>
      <c r="C17" s="193" t="s">
        <v>360</v>
      </c>
      <c r="D17" s="168">
        <f>D10/D15</f>
        <v>100.137</v>
      </c>
      <c r="E17" s="169" t="s">
        <v>21</v>
      </c>
      <c r="H17" s="195" t="s">
        <v>375</v>
      </c>
      <c r="I17" s="219">
        <f>I5+I11</f>
        <v>2.0864484256568492</v>
      </c>
      <c r="J17" s="220">
        <f t="shared" ref="J17:P17" si="4">J5+J11</f>
        <v>2.7571781409469018</v>
      </c>
      <c r="K17" s="219">
        <f t="shared" si="4"/>
        <v>5.2161210641421238</v>
      </c>
      <c r="L17" s="221">
        <f t="shared" si="4"/>
        <v>2.7571781409469018</v>
      </c>
      <c r="M17" s="222">
        <f t="shared" si="4"/>
        <v>208.93068599999992</v>
      </c>
      <c r="N17" s="221">
        <f t="shared" si="4"/>
        <v>276.0955474999999</v>
      </c>
      <c r="O17" s="219">
        <f t="shared" si="4"/>
        <v>1253.5841159999995</v>
      </c>
      <c r="P17" s="221">
        <f t="shared" si="4"/>
        <v>1656.5732849999995</v>
      </c>
    </row>
    <row r="18" spans="2:16" x14ac:dyDescent="0.35">
      <c r="H18" s="121"/>
      <c r="I18" s="120"/>
      <c r="J18" s="120"/>
      <c r="K18" s="120"/>
      <c r="L18" s="120"/>
      <c r="M18" s="119"/>
      <c r="N18" s="119"/>
    </row>
    <row r="19" spans="2:16" x14ac:dyDescent="0.35">
      <c r="D19" s="629" t="s">
        <v>376</v>
      </c>
      <c r="E19" s="630"/>
      <c r="F19" s="630"/>
      <c r="G19" s="630"/>
      <c r="H19" s="630"/>
      <c r="I19" s="630"/>
      <c r="J19" s="631"/>
      <c r="K19" s="120"/>
      <c r="L19" s="120"/>
      <c r="M19" s="119"/>
      <c r="N19" s="119"/>
    </row>
    <row r="20" spans="2:16" x14ac:dyDescent="0.35">
      <c r="D20" s="544" t="s">
        <v>357</v>
      </c>
      <c r="E20" s="545"/>
      <c r="F20" s="545"/>
      <c r="G20" s="178"/>
      <c r="H20" s="545" t="s">
        <v>358</v>
      </c>
      <c r="I20" s="545"/>
      <c r="J20" s="550"/>
      <c r="L20" s="536"/>
      <c r="M20" s="536"/>
      <c r="N20" s="44"/>
      <c r="P20"/>
    </row>
    <row r="21" spans="2:16" x14ac:dyDescent="0.35">
      <c r="B21" s="618" t="s">
        <v>370</v>
      </c>
      <c r="C21" s="619"/>
      <c r="D21" s="179"/>
      <c r="E21" s="180"/>
      <c r="F21" s="146">
        <f>SUM(F22,F33,F37,F42,F46)</f>
        <v>219.28712399999995</v>
      </c>
      <c r="G21" s="153"/>
      <c r="H21" s="179"/>
      <c r="I21" s="180"/>
      <c r="J21" s="184">
        <f>SUM(J22,J33,J37,J42,J46)</f>
        <v>227.09780999999998</v>
      </c>
      <c r="L21" s="117"/>
      <c r="M21" s="117"/>
      <c r="N21" s="44"/>
      <c r="P21"/>
    </row>
    <row r="22" spans="2:16" x14ac:dyDescent="0.35">
      <c r="B22" s="181" t="s">
        <v>347</v>
      </c>
      <c r="C22" s="182"/>
      <c r="D22" s="182" t="s">
        <v>368</v>
      </c>
      <c r="E22" s="183" t="s">
        <v>253</v>
      </c>
      <c r="F22" s="135">
        <f>SUM(F23:F35)</f>
        <v>92.029999999999987</v>
      </c>
      <c r="G22" s="136"/>
      <c r="H22" s="182" t="s">
        <v>368</v>
      </c>
      <c r="I22" s="183" t="s">
        <v>253</v>
      </c>
      <c r="J22" s="185">
        <f>SUM(J23:J35)</f>
        <v>92.029999999999987</v>
      </c>
      <c r="L22" s="44"/>
      <c r="M22"/>
      <c r="N22" s="44"/>
      <c r="P22"/>
    </row>
    <row r="23" spans="2:16" x14ac:dyDescent="0.35">
      <c r="B23" s="143"/>
      <c r="C23" s="34" t="s">
        <v>316</v>
      </c>
      <c r="D23" s="34">
        <v>12</v>
      </c>
      <c r="E23" s="123">
        <v>0.68</v>
      </c>
      <c r="F23" s="138">
        <f>E23*D23</f>
        <v>8.16</v>
      </c>
      <c r="G23" s="123"/>
      <c r="H23" s="34">
        <v>12</v>
      </c>
      <c r="I23" s="123">
        <v>0.68</v>
      </c>
      <c r="J23" s="139">
        <f>I23*H23</f>
        <v>8.16</v>
      </c>
      <c r="L23" s="632"/>
      <c r="M23" s="632"/>
      <c r="N23" s="44"/>
      <c r="P23"/>
    </row>
    <row r="24" spans="2:16" x14ac:dyDescent="0.35">
      <c r="B24" s="144"/>
      <c r="C24" s="34" t="s">
        <v>319</v>
      </c>
      <c r="D24" s="34">
        <v>12</v>
      </c>
      <c r="E24" s="123">
        <v>0.68</v>
      </c>
      <c r="F24" s="138">
        <f t="shared" ref="F24:F31" si="5">E24*D24</f>
        <v>8.16</v>
      </c>
      <c r="G24" s="123"/>
      <c r="H24" s="34">
        <v>12</v>
      </c>
      <c r="I24" s="123">
        <v>0.68</v>
      </c>
      <c r="J24" s="139">
        <f t="shared" ref="J24:J31" si="6">I24*H24</f>
        <v>8.16</v>
      </c>
      <c r="L24" s="118"/>
      <c r="M24" s="118"/>
      <c r="N24" s="44"/>
      <c r="P24"/>
    </row>
    <row r="25" spans="2:16" x14ac:dyDescent="0.35">
      <c r="B25" s="144"/>
      <c r="C25" s="34" t="s">
        <v>315</v>
      </c>
      <c r="D25" s="34">
        <v>15</v>
      </c>
      <c r="E25" s="123">
        <v>0.61</v>
      </c>
      <c r="F25" s="138">
        <f t="shared" si="5"/>
        <v>9.15</v>
      </c>
      <c r="G25" s="123"/>
      <c r="H25" s="34">
        <v>15</v>
      </c>
      <c r="I25" s="123">
        <v>0.61</v>
      </c>
      <c r="J25" s="139">
        <f t="shared" si="6"/>
        <v>9.15</v>
      </c>
      <c r="L25" s="44"/>
      <c r="M25"/>
      <c r="N25" s="44"/>
      <c r="P25"/>
    </row>
    <row r="26" spans="2:16" x14ac:dyDescent="0.35">
      <c r="B26" s="144"/>
      <c r="C26" s="34" t="s">
        <v>312</v>
      </c>
      <c r="D26" s="34">
        <v>12</v>
      </c>
      <c r="E26" s="123">
        <v>0.74</v>
      </c>
      <c r="F26" s="138">
        <f t="shared" si="5"/>
        <v>8.879999999999999</v>
      </c>
      <c r="G26" s="123"/>
      <c r="H26" s="34">
        <v>12</v>
      </c>
      <c r="I26" s="123">
        <v>0.74</v>
      </c>
      <c r="J26" s="139">
        <f t="shared" si="6"/>
        <v>8.879999999999999</v>
      </c>
      <c r="L26" s="632"/>
      <c r="M26" s="632"/>
      <c r="N26" s="44"/>
      <c r="P26"/>
    </row>
    <row r="27" spans="2:16" x14ac:dyDescent="0.35">
      <c r="B27" s="144"/>
      <c r="C27" s="34" t="s">
        <v>313</v>
      </c>
      <c r="D27" s="34">
        <v>12</v>
      </c>
      <c r="E27" s="123">
        <v>0.88</v>
      </c>
      <c r="F27" s="138">
        <f t="shared" si="5"/>
        <v>10.56</v>
      </c>
      <c r="G27" s="123"/>
      <c r="H27" s="34">
        <v>12</v>
      </c>
      <c r="I27" s="123">
        <v>0.88</v>
      </c>
      <c r="J27" s="139">
        <f t="shared" si="6"/>
        <v>10.56</v>
      </c>
      <c r="L27" s="118"/>
      <c r="M27" s="118"/>
      <c r="N27" s="44"/>
      <c r="P27"/>
    </row>
    <row r="28" spans="2:16" x14ac:dyDescent="0.35">
      <c r="B28" s="144"/>
      <c r="C28" s="34" t="s">
        <v>314</v>
      </c>
      <c r="D28" s="34">
        <v>24</v>
      </c>
      <c r="E28" s="123">
        <v>0.39</v>
      </c>
      <c r="F28" s="138">
        <f t="shared" si="5"/>
        <v>9.36</v>
      </c>
      <c r="G28" s="123"/>
      <c r="H28" s="34">
        <v>24</v>
      </c>
      <c r="I28" s="123">
        <v>0.39</v>
      </c>
      <c r="J28" s="139">
        <f t="shared" si="6"/>
        <v>9.36</v>
      </c>
      <c r="L28"/>
      <c r="N28" s="44"/>
      <c r="P28"/>
    </row>
    <row r="29" spans="2:16" x14ac:dyDescent="0.35">
      <c r="B29" s="144"/>
      <c r="C29" s="34" t="s">
        <v>317</v>
      </c>
      <c r="D29" s="34">
        <v>10</v>
      </c>
      <c r="E29" s="123">
        <v>1.05</v>
      </c>
      <c r="F29" s="138">
        <f t="shared" si="5"/>
        <v>10.5</v>
      </c>
      <c r="G29" s="123"/>
      <c r="H29" s="34">
        <v>10</v>
      </c>
      <c r="I29" s="123">
        <v>1.05</v>
      </c>
      <c r="J29" s="139">
        <f t="shared" si="6"/>
        <v>10.5</v>
      </c>
      <c r="L29" s="536"/>
      <c r="M29" s="536"/>
      <c r="N29" s="44"/>
      <c r="P29"/>
    </row>
    <row r="30" spans="2:16" x14ac:dyDescent="0.35">
      <c r="B30" s="144"/>
      <c r="C30" s="34" t="s">
        <v>318</v>
      </c>
      <c r="D30" s="34">
        <v>12</v>
      </c>
      <c r="E30" s="123">
        <v>0.68</v>
      </c>
      <c r="F30" s="138">
        <f t="shared" si="5"/>
        <v>8.16</v>
      </c>
      <c r="G30" s="123"/>
      <c r="H30" s="34">
        <v>12</v>
      </c>
      <c r="I30" s="123">
        <v>0.68</v>
      </c>
      <c r="J30" s="139">
        <f t="shared" si="6"/>
        <v>8.16</v>
      </c>
      <c r="L30" s="122"/>
      <c r="M30" s="122"/>
      <c r="N30" s="44"/>
      <c r="P30"/>
    </row>
    <row r="31" spans="2:16" x14ac:dyDescent="0.35">
      <c r="B31" s="145"/>
      <c r="C31" s="140" t="s">
        <v>22</v>
      </c>
      <c r="D31" s="140">
        <v>5</v>
      </c>
      <c r="E31" s="125">
        <v>3</v>
      </c>
      <c r="F31" s="141">
        <f t="shared" si="5"/>
        <v>15</v>
      </c>
      <c r="G31" s="125"/>
      <c r="H31" s="140">
        <v>5</v>
      </c>
      <c r="I31" s="125">
        <v>3</v>
      </c>
      <c r="J31" s="142">
        <f t="shared" si="6"/>
        <v>15</v>
      </c>
      <c r="L31"/>
      <c r="N31" s="44"/>
      <c r="P31"/>
    </row>
    <row r="32" spans="2:16" x14ac:dyDescent="0.35">
      <c r="B32" s="134"/>
      <c r="C32" s="13"/>
      <c r="D32" s="158"/>
      <c r="E32" s="154"/>
      <c r="F32" s="154"/>
      <c r="G32" s="154"/>
      <c r="H32" s="13"/>
      <c r="I32" s="154"/>
      <c r="J32" s="155"/>
      <c r="L32"/>
      <c r="M32" s="119"/>
      <c r="N32" s="44"/>
      <c r="P32"/>
    </row>
    <row r="33" spans="2:16" x14ac:dyDescent="0.35">
      <c r="B33" s="181" t="s">
        <v>346</v>
      </c>
      <c r="C33" s="156"/>
      <c r="D33" s="147"/>
      <c r="E33" s="148"/>
      <c r="F33" s="149">
        <f>SUM(F34:F35)</f>
        <v>2.0499999999999998</v>
      </c>
      <c r="G33" s="148"/>
      <c r="H33" s="147"/>
      <c r="I33" s="148"/>
      <c r="J33" s="150">
        <f>SUM(J34:J35)</f>
        <v>2.0499999999999998</v>
      </c>
      <c r="L33"/>
      <c r="M33" s="119"/>
      <c r="N33" s="44"/>
      <c r="P33"/>
    </row>
    <row r="34" spans="2:16" x14ac:dyDescent="0.35">
      <c r="B34" s="26"/>
      <c r="C34" s="35" t="s">
        <v>26</v>
      </c>
      <c r="D34" s="34">
        <v>0.1</v>
      </c>
      <c r="E34" s="123">
        <v>0.5</v>
      </c>
      <c r="F34" s="138">
        <f t="shared" ref="F34:F35" si="7">E34*D34</f>
        <v>0.05</v>
      </c>
      <c r="G34" s="123"/>
      <c r="H34" s="34">
        <v>0.1</v>
      </c>
      <c r="I34" s="123">
        <v>0.5</v>
      </c>
      <c r="J34" s="139">
        <f t="shared" ref="J34:J35" si="8">I34*H34</f>
        <v>0.05</v>
      </c>
      <c r="L34" s="536"/>
      <c r="M34" s="536"/>
      <c r="N34" s="44"/>
      <c r="P34"/>
    </row>
    <row r="35" spans="2:16" x14ac:dyDescent="0.35">
      <c r="B35" s="10"/>
      <c r="C35" s="157" t="s">
        <v>321</v>
      </c>
      <c r="D35" s="140">
        <v>1</v>
      </c>
      <c r="E35" s="125">
        <v>2</v>
      </c>
      <c r="F35" s="141">
        <f t="shared" si="7"/>
        <v>2</v>
      </c>
      <c r="G35" s="125"/>
      <c r="H35" s="140">
        <v>1</v>
      </c>
      <c r="I35" s="125">
        <v>2</v>
      </c>
      <c r="J35" s="142">
        <f t="shared" si="8"/>
        <v>2</v>
      </c>
      <c r="L35" s="118"/>
      <c r="N35" s="44"/>
      <c r="P35"/>
    </row>
    <row r="36" spans="2:16" x14ac:dyDescent="0.35">
      <c r="B36" s="134"/>
      <c r="C36" s="13"/>
      <c r="D36" s="159"/>
      <c r="E36" s="154"/>
      <c r="F36" s="154"/>
      <c r="G36" s="154"/>
      <c r="H36" s="13"/>
      <c r="I36" s="154"/>
      <c r="J36" s="155"/>
      <c r="N36" s="44"/>
      <c r="P36"/>
    </row>
    <row r="37" spans="2:16" x14ac:dyDescent="0.35">
      <c r="B37" s="181" t="s">
        <v>310</v>
      </c>
      <c r="C37" s="24"/>
      <c r="D37" s="23"/>
      <c r="E37" s="136"/>
      <c r="F37" s="135">
        <f>SUM(F38:F39)</f>
        <v>5.2071240000000003</v>
      </c>
      <c r="G37" s="136"/>
      <c r="H37" s="23"/>
      <c r="I37" s="136"/>
      <c r="J37" s="137">
        <f>SUM(J38:J39)</f>
        <v>13.017810000000001</v>
      </c>
      <c r="L37" s="536"/>
      <c r="M37" s="536"/>
      <c r="N37" s="44"/>
      <c r="P37"/>
    </row>
    <row r="38" spans="2:16" x14ac:dyDescent="0.35">
      <c r="B38" s="26"/>
      <c r="C38" s="35" t="s">
        <v>330</v>
      </c>
      <c r="D38" s="151">
        <f>D16</f>
        <v>40.0548</v>
      </c>
      <c r="E38" s="123">
        <v>0.1</v>
      </c>
      <c r="F38" s="138">
        <f>E38*D38</f>
        <v>4.0054800000000004</v>
      </c>
      <c r="G38" s="123"/>
      <c r="H38" s="151">
        <f>D17</f>
        <v>100.137</v>
      </c>
      <c r="I38" s="123">
        <v>0.1</v>
      </c>
      <c r="J38" s="139">
        <f>I38*H38</f>
        <v>10.0137</v>
      </c>
      <c r="L38" s="118"/>
      <c r="M38" s="119"/>
      <c r="N38" s="44"/>
      <c r="P38"/>
    </row>
    <row r="39" spans="2:16" x14ac:dyDescent="0.35">
      <c r="B39" s="10"/>
      <c r="C39" s="157" t="s">
        <v>329</v>
      </c>
      <c r="D39" s="152">
        <f>D16</f>
        <v>40.0548</v>
      </c>
      <c r="E39" s="125">
        <v>0.03</v>
      </c>
      <c r="F39" s="141">
        <f>E39*D39</f>
        <v>1.2016439999999999</v>
      </c>
      <c r="G39" s="125"/>
      <c r="H39" s="152">
        <f>D17</f>
        <v>100.137</v>
      </c>
      <c r="I39" s="125">
        <v>0.03</v>
      </c>
      <c r="J39" s="142">
        <f>I39*H39</f>
        <v>3.0041099999999998</v>
      </c>
      <c r="N39" s="44"/>
      <c r="P39"/>
    </row>
    <row r="40" spans="2:16" x14ac:dyDescent="0.35">
      <c r="B40" s="134"/>
      <c r="C40" s="13"/>
      <c r="D40" s="159"/>
      <c r="E40" s="154"/>
      <c r="F40" s="154"/>
      <c r="G40" s="154"/>
      <c r="H40" s="13"/>
      <c r="I40" s="154"/>
      <c r="J40" s="155"/>
      <c r="L40" s="536"/>
      <c r="M40" s="536"/>
      <c r="N40" s="44"/>
      <c r="P40"/>
    </row>
    <row r="41" spans="2:16" x14ac:dyDescent="0.35">
      <c r="B41" s="134"/>
      <c r="C41" s="13"/>
      <c r="D41" s="159"/>
      <c r="E41" s="186" t="s">
        <v>320</v>
      </c>
      <c r="F41" s="186" t="s">
        <v>369</v>
      </c>
      <c r="G41" s="154"/>
      <c r="H41" s="13"/>
      <c r="I41" s="186" t="s">
        <v>320</v>
      </c>
      <c r="J41" s="187" t="s">
        <v>369</v>
      </c>
      <c r="L41" s="117"/>
      <c r="M41" s="117"/>
      <c r="N41" s="44"/>
      <c r="P41"/>
    </row>
    <row r="42" spans="2:16" x14ac:dyDescent="0.35">
      <c r="B42" s="181" t="s">
        <v>333</v>
      </c>
      <c r="C42" s="24"/>
      <c r="D42" s="23"/>
      <c r="E42" s="135">
        <f>SUM(E43:E44)</f>
        <v>64.333333333333329</v>
      </c>
      <c r="F42" s="135">
        <f>SUM(F43:F44)</f>
        <v>82.666666666666671</v>
      </c>
      <c r="G42" s="136"/>
      <c r="H42" s="23"/>
      <c r="I42" s="135">
        <f>SUM(I43:I44)</f>
        <v>64.333333333333329</v>
      </c>
      <c r="J42" s="137">
        <f>SUM(J43:J44)</f>
        <v>82.666666666666671</v>
      </c>
      <c r="L42" s="118"/>
      <c r="M42" s="119"/>
      <c r="N42" s="44"/>
      <c r="P42"/>
    </row>
    <row r="43" spans="2:16" x14ac:dyDescent="0.35">
      <c r="B43" s="26"/>
      <c r="C43" s="35" t="s">
        <v>334</v>
      </c>
      <c r="D43" s="34">
        <f>3*8/6</f>
        <v>4</v>
      </c>
      <c r="E43" s="138">
        <f>$D$7*D43</f>
        <v>56</v>
      </c>
      <c r="F43" s="138">
        <f>$D$5*D43</f>
        <v>72</v>
      </c>
      <c r="G43" s="123"/>
      <c r="H43" s="34">
        <f>3*8/6</f>
        <v>4</v>
      </c>
      <c r="I43" s="138">
        <f>$D$7*H43</f>
        <v>56</v>
      </c>
      <c r="J43" s="139">
        <f>$D$5*H43</f>
        <v>72</v>
      </c>
      <c r="N43" s="44"/>
      <c r="P43"/>
    </row>
    <row r="44" spans="2:16" x14ac:dyDescent="0.35">
      <c r="B44" s="10"/>
      <c r="C44" s="157" t="s">
        <v>335</v>
      </c>
      <c r="D44" s="39">
        <f>0.25*8/6</f>
        <v>0.33333333333333331</v>
      </c>
      <c r="E44" s="141">
        <f>$D$8*D44</f>
        <v>8.3333333333333321</v>
      </c>
      <c r="F44" s="141">
        <f>$D$6*D44</f>
        <v>10.666666666666666</v>
      </c>
      <c r="G44" s="125"/>
      <c r="H44" s="39">
        <f>0.25*8/6</f>
        <v>0.33333333333333331</v>
      </c>
      <c r="I44" s="141">
        <f>$D$8*H44</f>
        <v>8.3333333333333321</v>
      </c>
      <c r="J44" s="142">
        <f>$D$6*H44</f>
        <v>10.666666666666666</v>
      </c>
      <c r="N44" s="44"/>
      <c r="P44"/>
    </row>
    <row r="45" spans="2:16" x14ac:dyDescent="0.35">
      <c r="B45" s="134"/>
      <c r="C45" s="13"/>
      <c r="D45" s="224"/>
      <c r="E45" s="154"/>
      <c r="F45" s="154"/>
      <c r="G45" s="154"/>
      <c r="H45" s="224"/>
      <c r="I45" s="154"/>
      <c r="J45" s="155"/>
      <c r="N45" s="44"/>
      <c r="P45"/>
    </row>
    <row r="46" spans="2:16" x14ac:dyDescent="0.35">
      <c r="B46" s="181" t="s">
        <v>362</v>
      </c>
      <c r="C46" s="23"/>
      <c r="D46" s="225"/>
      <c r="E46" s="135">
        <f>SUM(E47:E52)</f>
        <v>28</v>
      </c>
      <c r="F46" s="135">
        <f>SUM(F47:F52)</f>
        <v>37.333333333333329</v>
      </c>
      <c r="G46" s="136"/>
      <c r="H46" s="225"/>
      <c r="I46" s="135">
        <f>SUM(I47:I52)</f>
        <v>28</v>
      </c>
      <c r="J46" s="137">
        <f>SUM(J47:J52)</f>
        <v>37.333333333333329</v>
      </c>
      <c r="N46" s="44"/>
      <c r="P46"/>
    </row>
    <row r="47" spans="2:16" x14ac:dyDescent="0.35">
      <c r="B47" s="26"/>
      <c r="C47" s="34" t="s">
        <v>322</v>
      </c>
      <c r="D47" s="36">
        <f>1*8/6</f>
        <v>1.3333333333333333</v>
      </c>
      <c r="E47" s="138">
        <v>25</v>
      </c>
      <c r="F47" s="138">
        <f>E47*D47</f>
        <v>33.333333333333329</v>
      </c>
      <c r="G47" s="123"/>
      <c r="H47" s="36">
        <f>1*8/6</f>
        <v>1.3333333333333333</v>
      </c>
      <c r="I47" s="138">
        <v>25</v>
      </c>
      <c r="J47" s="139">
        <f>I47*H47</f>
        <v>33.333333333333329</v>
      </c>
      <c r="N47" s="44"/>
      <c r="P47"/>
    </row>
    <row r="48" spans="2:16" x14ac:dyDescent="0.35">
      <c r="B48" s="26"/>
      <c r="C48" s="34" t="s">
        <v>324</v>
      </c>
      <c r="D48" s="36"/>
      <c r="E48" s="123"/>
      <c r="F48" s="123"/>
      <c r="G48" s="123"/>
      <c r="H48" s="36"/>
      <c r="I48" s="123"/>
      <c r="J48" s="124"/>
      <c r="N48" s="44"/>
      <c r="P48"/>
    </row>
    <row r="49" spans="2:16" x14ac:dyDescent="0.35">
      <c r="B49" s="26"/>
      <c r="C49" s="34" t="s">
        <v>325</v>
      </c>
      <c r="D49" s="36"/>
      <c r="E49" s="123"/>
      <c r="F49" s="123"/>
      <c r="G49" s="123"/>
      <c r="H49" s="36"/>
      <c r="I49" s="123"/>
      <c r="J49" s="124"/>
      <c r="N49" s="44"/>
      <c r="P49"/>
    </row>
    <row r="50" spans="2:16" x14ac:dyDescent="0.35">
      <c r="B50" s="26"/>
      <c r="C50" s="34" t="s">
        <v>326</v>
      </c>
      <c r="D50" s="36"/>
      <c r="E50" s="123"/>
      <c r="F50" s="123"/>
      <c r="G50" s="123"/>
      <c r="H50" s="36"/>
      <c r="I50" s="123"/>
      <c r="J50" s="124"/>
      <c r="N50" s="44"/>
      <c r="P50"/>
    </row>
    <row r="51" spans="2:16" x14ac:dyDescent="0.35">
      <c r="B51" s="26"/>
      <c r="C51" s="34" t="s">
        <v>327</v>
      </c>
      <c r="D51" s="36"/>
      <c r="E51" s="123"/>
      <c r="F51" s="123"/>
      <c r="G51" s="123"/>
      <c r="H51" s="36"/>
      <c r="I51" s="123"/>
      <c r="J51" s="124"/>
      <c r="N51" s="44"/>
      <c r="P51"/>
    </row>
    <row r="52" spans="2:16" x14ac:dyDescent="0.35">
      <c r="B52" s="10"/>
      <c r="C52" s="140" t="s">
        <v>328</v>
      </c>
      <c r="D52" s="39">
        <f>1*8/6</f>
        <v>1.3333333333333333</v>
      </c>
      <c r="E52" s="141">
        <v>3</v>
      </c>
      <c r="F52" s="141">
        <f>E52*D52</f>
        <v>4</v>
      </c>
      <c r="G52" s="125"/>
      <c r="H52" s="39">
        <f>1*8/6</f>
        <v>1.3333333333333333</v>
      </c>
      <c r="I52" s="141">
        <v>3</v>
      </c>
      <c r="J52" s="142">
        <f>I52*H52</f>
        <v>4</v>
      </c>
      <c r="N52" s="44"/>
      <c r="P52"/>
    </row>
  </sheetData>
  <mergeCells count="20">
    <mergeCell ref="L40:M40"/>
    <mergeCell ref="I3:J3"/>
    <mergeCell ref="M3:N3"/>
    <mergeCell ref="O3:P3"/>
    <mergeCell ref="K3:L3"/>
    <mergeCell ref="D19:J19"/>
    <mergeCell ref="L23:M23"/>
    <mergeCell ref="L26:M26"/>
    <mergeCell ref="L29:M29"/>
    <mergeCell ref="L34:M34"/>
    <mergeCell ref="L37:M37"/>
    <mergeCell ref="L20:M20"/>
    <mergeCell ref="B1:F1"/>
    <mergeCell ref="C2:F2"/>
    <mergeCell ref="B21:C21"/>
    <mergeCell ref="H20:J20"/>
    <mergeCell ref="D20:F20"/>
    <mergeCell ref="B10:C10"/>
    <mergeCell ref="B11:C11"/>
    <mergeCell ref="H2:P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5"/>
  <sheetViews>
    <sheetView workbookViewId="0">
      <selection activeCell="C2" sqref="C2"/>
    </sheetView>
  </sheetViews>
  <sheetFormatPr defaultRowHeight="14.5" x14ac:dyDescent="0.35"/>
  <sheetData>
    <row r="1" spans="2:8" x14ac:dyDescent="0.35">
      <c r="B1" s="595" t="s">
        <v>245</v>
      </c>
      <c r="C1" s="596"/>
      <c r="D1" s="596"/>
      <c r="E1" s="596"/>
      <c r="F1" s="596"/>
      <c r="G1" s="597"/>
    </row>
    <row r="2" spans="2:8" x14ac:dyDescent="0.35">
      <c r="B2" s="1" t="s">
        <v>1</v>
      </c>
      <c r="C2" s="2">
        <v>6</v>
      </c>
      <c r="D2" s="3"/>
      <c r="E2" s="598" t="s">
        <v>2</v>
      </c>
      <c r="F2" s="599"/>
      <c r="G2" s="4">
        <v>10</v>
      </c>
    </row>
    <row r="3" spans="2:8" x14ac:dyDescent="0.35">
      <c r="B3" s="1"/>
      <c r="C3" s="5"/>
      <c r="D3" s="3"/>
      <c r="E3" s="600" t="s">
        <v>3</v>
      </c>
      <c r="F3" s="601"/>
      <c r="G3" s="6">
        <v>6</v>
      </c>
    </row>
    <row r="4" spans="2:8" x14ac:dyDescent="0.35">
      <c r="B4" s="7" t="s">
        <v>4</v>
      </c>
      <c r="C4" s="108">
        <v>6</v>
      </c>
      <c r="D4" s="3"/>
      <c r="E4" s="3"/>
      <c r="F4" s="3"/>
      <c r="G4" s="9"/>
    </row>
    <row r="5" spans="2:8" x14ac:dyDescent="0.35">
      <c r="B5" s="10" t="s">
        <v>5</v>
      </c>
      <c r="C5" s="109">
        <f>C2-C4</f>
        <v>0</v>
      </c>
      <c r="D5" s="3"/>
      <c r="E5" s="598" t="s">
        <v>6</v>
      </c>
      <c r="F5" s="599"/>
      <c r="G5" s="4">
        <f>(C4*C7*G2)+(C5*C8*G3)</f>
        <v>420</v>
      </c>
    </row>
    <row r="6" spans="2:8" x14ac:dyDescent="0.35">
      <c r="B6" s="12"/>
      <c r="C6" s="5"/>
      <c r="D6" s="3"/>
      <c r="E6" s="600" t="s">
        <v>7</v>
      </c>
      <c r="F6" s="601"/>
      <c r="G6" s="6">
        <f>(C4*C7*G22)+(C5*C8*H22)</f>
        <v>340.38750000000005</v>
      </c>
    </row>
    <row r="7" spans="2:8" x14ac:dyDescent="0.35">
      <c r="B7" s="7" t="s">
        <v>8</v>
      </c>
      <c r="C7" s="108">
        <v>7</v>
      </c>
      <c r="D7" s="13"/>
      <c r="E7" s="593" t="s">
        <v>9</v>
      </c>
      <c r="F7" s="594"/>
      <c r="G7" s="14">
        <f>G5-G6</f>
        <v>79.612499999999955</v>
      </c>
    </row>
    <row r="8" spans="2:8" x14ac:dyDescent="0.35">
      <c r="B8" s="10" t="s">
        <v>10</v>
      </c>
      <c r="C8" s="109">
        <v>7</v>
      </c>
      <c r="D8" s="13"/>
      <c r="E8" s="582" t="s">
        <v>11</v>
      </c>
      <c r="F8" s="583"/>
      <c r="G8" s="15">
        <f>(C4*C7*G19)+(C5*C8*H19)</f>
        <v>90</v>
      </c>
    </row>
    <row r="9" spans="2:8" x14ac:dyDescent="0.35">
      <c r="B9" s="16"/>
      <c r="C9" s="17"/>
      <c r="D9" s="13"/>
      <c r="E9" s="584" t="s">
        <v>12</v>
      </c>
      <c r="F9" s="585"/>
      <c r="G9" s="18">
        <f>SUM(G7:G8)</f>
        <v>169.61249999999995</v>
      </c>
    </row>
    <row r="10" spans="2:8" x14ac:dyDescent="0.35">
      <c r="B10" s="16"/>
      <c r="C10" s="19"/>
      <c r="D10" s="19"/>
      <c r="E10" s="19"/>
      <c r="F10" s="19"/>
      <c r="G10" s="20"/>
    </row>
    <row r="11" spans="2:8" x14ac:dyDescent="0.35">
      <c r="B11" s="21" t="s">
        <v>13</v>
      </c>
      <c r="C11" s="22" t="s">
        <v>14</v>
      </c>
      <c r="D11" s="22" t="s">
        <v>15</v>
      </c>
      <c r="E11" s="23" t="s">
        <v>16</v>
      </c>
      <c r="F11" s="24" t="s">
        <v>15</v>
      </c>
      <c r="G11" s="25" t="s">
        <v>17</v>
      </c>
      <c r="H11" s="25" t="s">
        <v>18</v>
      </c>
    </row>
    <row r="12" spans="2:8" x14ac:dyDescent="0.35">
      <c r="B12" s="26" t="s">
        <v>19</v>
      </c>
      <c r="C12" s="27">
        <v>2</v>
      </c>
      <c r="D12" s="27" t="s">
        <v>20</v>
      </c>
      <c r="E12" s="28">
        <v>0.5</v>
      </c>
      <c r="F12" s="29" t="s">
        <v>21</v>
      </c>
      <c r="G12" s="30">
        <f t="shared" ref="G12:G21" si="0">C12*E12</f>
        <v>1</v>
      </c>
      <c r="H12" s="30">
        <f>C12*E12/2</f>
        <v>0.5</v>
      </c>
    </row>
    <row r="13" spans="2:8" x14ac:dyDescent="0.35">
      <c r="B13" s="26" t="s">
        <v>22</v>
      </c>
      <c r="C13" s="27">
        <v>1</v>
      </c>
      <c r="D13" s="27" t="s">
        <v>23</v>
      </c>
      <c r="E13" s="28">
        <v>1</v>
      </c>
      <c r="F13" s="29" t="s">
        <v>21</v>
      </c>
      <c r="G13" s="30">
        <f t="shared" si="0"/>
        <v>1</v>
      </c>
      <c r="H13" s="30">
        <f t="shared" ref="H13:H16" si="1">C13*E13/2</f>
        <v>0.5</v>
      </c>
    </row>
    <row r="14" spans="2:8" x14ac:dyDescent="0.35">
      <c r="B14" s="26" t="s">
        <v>24</v>
      </c>
      <c r="C14" s="27">
        <v>4</v>
      </c>
      <c r="D14" s="27" t="s">
        <v>25</v>
      </c>
      <c r="E14" s="28">
        <f>1/8</f>
        <v>0.125</v>
      </c>
      <c r="F14" s="29" t="s">
        <v>21</v>
      </c>
      <c r="G14" s="30">
        <f t="shared" si="0"/>
        <v>0.5</v>
      </c>
      <c r="H14" s="30">
        <f t="shared" si="1"/>
        <v>0.25</v>
      </c>
    </row>
    <row r="15" spans="2:8" x14ac:dyDescent="0.35">
      <c r="B15" s="26" t="s">
        <v>26</v>
      </c>
      <c r="C15" s="27">
        <v>0.1</v>
      </c>
      <c r="D15" s="27" t="s">
        <v>23</v>
      </c>
      <c r="E15" s="28">
        <v>1</v>
      </c>
      <c r="F15" s="29" t="s">
        <v>21</v>
      </c>
      <c r="G15" s="30">
        <f t="shared" si="0"/>
        <v>0.1</v>
      </c>
      <c r="H15" s="30">
        <f t="shared" si="1"/>
        <v>0.05</v>
      </c>
    </row>
    <row r="16" spans="2:8" x14ac:dyDescent="0.35">
      <c r="B16" s="32" t="s">
        <v>27</v>
      </c>
      <c r="C16" s="27">
        <f>7/8</f>
        <v>0.875</v>
      </c>
      <c r="D16" s="33" t="s">
        <v>20</v>
      </c>
      <c r="E16" s="34">
        <v>0.25</v>
      </c>
      <c r="F16" s="35" t="s">
        <v>28</v>
      </c>
      <c r="G16" s="30">
        <f>C16*E16</f>
        <v>0.21875</v>
      </c>
      <c r="H16" s="30">
        <f t="shared" si="1"/>
        <v>0.109375</v>
      </c>
    </row>
    <row r="17" spans="2:8" x14ac:dyDescent="0.35">
      <c r="B17" s="32"/>
      <c r="E17" s="34"/>
      <c r="F17" s="35"/>
      <c r="G17" s="30"/>
      <c r="H17" s="30"/>
    </row>
    <row r="18" spans="2:8" x14ac:dyDescent="0.35">
      <c r="B18" s="26" t="s">
        <v>29</v>
      </c>
      <c r="C18" s="27">
        <v>1</v>
      </c>
      <c r="D18" s="27" t="s">
        <v>23</v>
      </c>
      <c r="E18" s="36">
        <v>1</v>
      </c>
      <c r="F18" s="37" t="s">
        <v>30</v>
      </c>
      <c r="G18" s="30">
        <f>C18*E18</f>
        <v>1</v>
      </c>
      <c r="H18" s="30">
        <v>0.8</v>
      </c>
    </row>
    <row r="19" spans="2:8" x14ac:dyDescent="0.35">
      <c r="B19" s="10" t="s">
        <v>31</v>
      </c>
      <c r="C19" s="38">
        <v>10</v>
      </c>
      <c r="D19" s="38" t="s">
        <v>32</v>
      </c>
      <c r="E19" s="39">
        <f>1.5/7</f>
        <v>0.21428571428571427</v>
      </c>
      <c r="F19" s="40" t="s">
        <v>33</v>
      </c>
      <c r="G19" s="15">
        <f t="shared" ref="G19" si="2">C19*E19</f>
        <v>2.1428571428571428</v>
      </c>
      <c r="H19" s="15">
        <f>E19*0.9*C19</f>
        <v>1.9285714285714284</v>
      </c>
    </row>
    <row r="20" spans="2:8" x14ac:dyDescent="0.35">
      <c r="B20" s="10"/>
      <c r="C20" s="38"/>
      <c r="D20" s="38"/>
      <c r="E20" s="39"/>
      <c r="F20" s="40"/>
      <c r="G20" s="15"/>
      <c r="H20" s="15"/>
    </row>
    <row r="21" spans="2:8" x14ac:dyDescent="0.35">
      <c r="B21" s="10" t="s">
        <v>34</v>
      </c>
      <c r="C21" s="38">
        <v>10</v>
      </c>
      <c r="D21" s="38" t="s">
        <v>32</v>
      </c>
      <c r="E21" s="39">
        <f>(1.5/7)</f>
        <v>0.21428571428571427</v>
      </c>
      <c r="F21" s="40" t="s">
        <v>33</v>
      </c>
      <c r="G21" s="15">
        <f t="shared" si="0"/>
        <v>2.1428571428571428</v>
      </c>
      <c r="H21" s="15">
        <f>E21*0.9*C21</f>
        <v>1.9285714285714284</v>
      </c>
    </row>
    <row r="22" spans="2:8" x14ac:dyDescent="0.35">
      <c r="E22" s="586" t="s">
        <v>35</v>
      </c>
      <c r="F22" s="587"/>
      <c r="G22" s="18">
        <f>SUM(G12:G21)</f>
        <v>8.1044642857142861</v>
      </c>
      <c r="H22" s="18">
        <f>SUM(H12:H21)</f>
        <v>6.0665178571428573</v>
      </c>
    </row>
    <row r="24" spans="2:8" x14ac:dyDescent="0.35">
      <c r="B24" t="s">
        <v>36</v>
      </c>
    </row>
    <row r="26" spans="2:8" x14ac:dyDescent="0.35">
      <c r="B26" t="s">
        <v>37</v>
      </c>
    </row>
    <row r="27" spans="2:8" x14ac:dyDescent="0.35">
      <c r="B27" t="s">
        <v>38</v>
      </c>
    </row>
    <row r="28" spans="2:8" x14ac:dyDescent="0.35">
      <c r="B28" t="s">
        <v>39</v>
      </c>
    </row>
    <row r="30" spans="2:8" x14ac:dyDescent="0.35">
      <c r="B30" s="588" t="s">
        <v>40</v>
      </c>
      <c r="C30" s="589"/>
      <c r="D30" s="589"/>
      <c r="E30" s="589"/>
      <c r="F30" s="589"/>
      <c r="G30" s="589"/>
      <c r="H30" s="589"/>
    </row>
    <row r="31" spans="2:8" x14ac:dyDescent="0.35">
      <c r="B31" s="590" t="s">
        <v>41</v>
      </c>
      <c r="C31" s="591"/>
      <c r="D31" s="591"/>
      <c r="E31" s="591"/>
      <c r="F31" s="41">
        <v>55</v>
      </c>
      <c r="G31" s="591" t="s">
        <v>42</v>
      </c>
      <c r="H31" s="592"/>
    </row>
    <row r="32" spans="2:8" x14ac:dyDescent="0.35">
      <c r="B32" s="576" t="s">
        <v>43</v>
      </c>
      <c r="C32" s="577"/>
      <c r="D32" s="577"/>
      <c r="E32" s="577"/>
      <c r="F32" s="42">
        <v>50</v>
      </c>
      <c r="G32" s="577" t="s">
        <v>42</v>
      </c>
      <c r="H32" s="578"/>
    </row>
    <row r="33" spans="2:8" x14ac:dyDescent="0.35">
      <c r="B33" s="576" t="s">
        <v>44</v>
      </c>
      <c r="C33" s="577"/>
      <c r="D33" s="577"/>
      <c r="E33" s="577"/>
      <c r="F33" s="42">
        <v>400</v>
      </c>
      <c r="G33" s="577" t="s">
        <v>45</v>
      </c>
      <c r="H33" s="578"/>
    </row>
    <row r="34" spans="2:8" x14ac:dyDescent="0.35">
      <c r="B34" s="579" t="s">
        <v>46</v>
      </c>
      <c r="C34" s="580"/>
      <c r="D34" s="580"/>
      <c r="E34" s="580"/>
      <c r="F34" s="43">
        <v>75</v>
      </c>
      <c r="G34" s="580" t="s">
        <v>47</v>
      </c>
      <c r="H34" s="581"/>
    </row>
    <row r="35" spans="2:8" x14ac:dyDescent="0.35">
      <c r="F35" s="44">
        <f>SUM(F31:F34)</f>
        <v>580</v>
      </c>
    </row>
  </sheetData>
  <mergeCells count="18">
    <mergeCell ref="B32:E32"/>
    <mergeCell ref="G32:H32"/>
    <mergeCell ref="B33:E33"/>
    <mergeCell ref="G33:H33"/>
    <mergeCell ref="B34:E34"/>
    <mergeCell ref="G34:H34"/>
    <mergeCell ref="E8:F8"/>
    <mergeCell ref="E9:F9"/>
    <mergeCell ref="E22:F22"/>
    <mergeCell ref="B30:H30"/>
    <mergeCell ref="B31:E31"/>
    <mergeCell ref="G31:H31"/>
    <mergeCell ref="E7:F7"/>
    <mergeCell ref="B1:G1"/>
    <mergeCell ref="E2:F2"/>
    <mergeCell ref="E3:F3"/>
    <mergeCell ref="E5:F5"/>
    <mergeCell ref="E6:F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548"/>
  <sheetViews>
    <sheetView tabSelected="1" topLeftCell="A473" zoomScale="75" zoomScaleNormal="75" workbookViewId="0">
      <pane xSplit="2" topLeftCell="AI1" activePane="topRight" state="frozen"/>
      <selection activeCell="A218" sqref="A218"/>
      <selection pane="topRight" activeCell="AO486" sqref="AO486"/>
    </sheetView>
  </sheetViews>
  <sheetFormatPr defaultRowHeight="14.5" x14ac:dyDescent="0.35"/>
  <cols>
    <col min="1" max="1" width="20.81640625" bestFit="1" customWidth="1"/>
    <col min="2" max="2" width="43.453125" bestFit="1" customWidth="1"/>
    <col min="3" max="3" width="6.26953125" bestFit="1" customWidth="1"/>
    <col min="4" max="5" width="12.6328125" customWidth="1"/>
    <col min="6" max="6" width="6.26953125" customWidth="1"/>
    <col min="7" max="8" width="12.6328125" customWidth="1"/>
    <col min="9" max="9" width="6.26953125" customWidth="1"/>
    <col min="10" max="11" width="12.6328125" customWidth="1"/>
    <col min="12" max="12" width="6.26953125" customWidth="1"/>
    <col min="13" max="14" width="12.6328125" customWidth="1"/>
    <col min="15" max="15" width="6.26953125" customWidth="1"/>
    <col min="16" max="17" width="12.6328125" customWidth="1"/>
    <col min="18" max="18" width="6.26953125" customWidth="1"/>
    <col min="19" max="20" width="12.6328125" customWidth="1"/>
    <col min="21" max="21" width="6.26953125" customWidth="1"/>
    <col min="22" max="23" width="12.6328125" customWidth="1"/>
    <col min="24" max="24" width="6.26953125" customWidth="1"/>
    <col min="25" max="26" width="12.6328125" customWidth="1"/>
    <col min="27" max="27" width="6.26953125" customWidth="1"/>
    <col min="28" max="29" width="12.6328125" customWidth="1"/>
    <col min="30" max="30" width="6.26953125" customWidth="1"/>
    <col min="31" max="32" width="12.6328125" customWidth="1"/>
    <col min="33" max="33" width="6.26953125" customWidth="1"/>
    <col min="34" max="35" width="12.6328125" customWidth="1"/>
    <col min="36" max="36" width="6.26953125" customWidth="1"/>
    <col min="37" max="38" width="12.6328125" customWidth="1"/>
    <col min="40" max="40" width="33.7265625" customWidth="1"/>
    <col min="41" max="41" width="13.08984375" bestFit="1" customWidth="1"/>
  </cols>
  <sheetData>
    <row r="3" spans="1:41" x14ac:dyDescent="0.35">
      <c r="A3" s="114" t="s">
        <v>736</v>
      </c>
      <c r="B3" s="446">
        <f>SUM(A21:A28)+SUM(A89:A96)+SUM(A155:A162)+SUM(A220:A227)+SUM(A285:A292)+SUM(A350:A357)+SUM(A415:A422)+SUM(A480:A487)</f>
        <v>148248</v>
      </c>
    </row>
    <row r="4" spans="1:41" x14ac:dyDescent="0.35">
      <c r="A4" s="114" t="s">
        <v>738</v>
      </c>
    </row>
    <row r="5" spans="1:41" x14ac:dyDescent="0.35">
      <c r="A5" s="114" t="s">
        <v>737</v>
      </c>
    </row>
    <row r="10" spans="1:41" x14ac:dyDescent="0.35">
      <c r="AN10" t="s">
        <v>739</v>
      </c>
      <c r="AO10" s="446">
        <f>SUM(AO17,AO85,AO151,AO216,AO281,AO346,AO411,AO476)</f>
        <v>148248</v>
      </c>
    </row>
    <row r="11" spans="1:41" x14ac:dyDescent="0.35">
      <c r="AN11" s="114" t="s">
        <v>740</v>
      </c>
      <c r="AO11" s="446">
        <f t="shared" ref="AO11:AO12" si="0">SUM(AO18,AO86,AO152,AO217,AO282,AO347,AO412,AO477)</f>
        <v>175816.51979999998</v>
      </c>
    </row>
    <row r="12" spans="1:41" x14ac:dyDescent="0.35">
      <c r="AN12" s="114" t="s">
        <v>741</v>
      </c>
      <c r="AO12" s="446">
        <f t="shared" si="0"/>
        <v>186925</v>
      </c>
    </row>
    <row r="13" spans="1:41" x14ac:dyDescent="0.35">
      <c r="A13" t="s">
        <v>662</v>
      </c>
    </row>
    <row r="14" spans="1:41" x14ac:dyDescent="0.35">
      <c r="A14" t="s">
        <v>663</v>
      </c>
    </row>
    <row r="15" spans="1:41" x14ac:dyDescent="0.35">
      <c r="A15" t="s">
        <v>661</v>
      </c>
    </row>
    <row r="16" spans="1:41" x14ac:dyDescent="0.35">
      <c r="A16" s="537" t="s">
        <v>511</v>
      </c>
      <c r="B16" s="537"/>
      <c r="C16" s="537"/>
      <c r="D16" s="537"/>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37"/>
      <c r="AK16" s="537"/>
      <c r="AL16" s="538"/>
    </row>
    <row r="17" spans="1:41" x14ac:dyDescent="0.35">
      <c r="C17" s="462"/>
      <c r="D17" s="463" t="s">
        <v>510</v>
      </c>
      <c r="E17" s="476" t="s">
        <v>531</v>
      </c>
      <c r="F17" s="462"/>
      <c r="G17" s="463" t="s">
        <v>510</v>
      </c>
      <c r="H17" s="476" t="s">
        <v>532</v>
      </c>
      <c r="I17" s="462"/>
      <c r="J17" s="463" t="s">
        <v>510</v>
      </c>
      <c r="K17" s="476" t="s">
        <v>533</v>
      </c>
      <c r="L17" s="462"/>
      <c r="M17" s="463" t="s">
        <v>510</v>
      </c>
      <c r="N17" s="476" t="s">
        <v>534</v>
      </c>
      <c r="O17" s="462"/>
      <c r="P17" s="463" t="s">
        <v>510</v>
      </c>
      <c r="Q17" s="476" t="s">
        <v>535</v>
      </c>
      <c r="R17" s="462"/>
      <c r="S17" s="463" t="s">
        <v>510</v>
      </c>
      <c r="T17" s="476" t="s">
        <v>536</v>
      </c>
      <c r="U17" s="462"/>
      <c r="V17" s="463" t="s">
        <v>510</v>
      </c>
      <c r="W17" s="476" t="s">
        <v>537</v>
      </c>
      <c r="X17" s="462"/>
      <c r="Y17" s="463" t="s">
        <v>510</v>
      </c>
      <c r="Z17" s="476" t="s">
        <v>538</v>
      </c>
      <c r="AA17" s="462"/>
      <c r="AB17" s="463" t="s">
        <v>510</v>
      </c>
      <c r="AC17" s="476" t="s">
        <v>539</v>
      </c>
      <c r="AD17" s="462"/>
      <c r="AE17" s="463" t="s">
        <v>510</v>
      </c>
      <c r="AF17" s="476" t="s">
        <v>540</v>
      </c>
      <c r="AG17" s="462"/>
      <c r="AH17" s="463" t="s">
        <v>510</v>
      </c>
      <c r="AI17" s="476" t="s">
        <v>541</v>
      </c>
      <c r="AJ17" s="462"/>
      <c r="AK17" s="463" t="s">
        <v>510</v>
      </c>
      <c r="AL17" s="476" t="s">
        <v>542</v>
      </c>
      <c r="AN17" t="s">
        <v>739</v>
      </c>
      <c r="AO17" s="446">
        <f>SUM(A21:A28)</f>
        <v>7104</v>
      </c>
    </row>
    <row r="18" spans="1:41" x14ac:dyDescent="0.35">
      <c r="B18" s="505" t="s">
        <v>627</v>
      </c>
      <c r="C18" s="465"/>
      <c r="D18" s="170" t="s">
        <v>35</v>
      </c>
      <c r="E18" s="469">
        <f>SUM(E21:E46)</f>
        <v>1424.9146666666666</v>
      </c>
      <c r="F18" s="465"/>
      <c r="G18" s="170" t="s">
        <v>35</v>
      </c>
      <c r="H18" s="469">
        <f>SUM(H21:H46)</f>
        <v>1424.9146666666666</v>
      </c>
      <c r="I18" s="465"/>
      <c r="J18" s="170" t="s">
        <v>35</v>
      </c>
      <c r="K18" s="469">
        <f>SUM(K21:K46)</f>
        <v>1424.9146666666666</v>
      </c>
      <c r="L18" s="465"/>
      <c r="M18" s="170" t="s">
        <v>35</v>
      </c>
      <c r="N18" s="469">
        <f>SUM(N21:N46)</f>
        <v>1424.9146666666666</v>
      </c>
      <c r="O18" s="465"/>
      <c r="P18" s="170" t="s">
        <v>35</v>
      </c>
      <c r="Q18" s="469">
        <f>SUM(Q21:Q46)</f>
        <v>1424.9146666666666</v>
      </c>
      <c r="R18" s="465"/>
      <c r="S18" s="170" t="s">
        <v>35</v>
      </c>
      <c r="T18" s="469">
        <f>SUM(T21:T46)</f>
        <v>1904.9146666666666</v>
      </c>
      <c r="U18" s="465"/>
      <c r="V18" s="170" t="s">
        <v>35</v>
      </c>
      <c r="W18" s="469">
        <f>SUM(W21:W46)</f>
        <v>2192.9146666666666</v>
      </c>
      <c r="X18" s="465"/>
      <c r="Y18" s="170" t="s">
        <v>35</v>
      </c>
      <c r="Z18" s="469">
        <f>SUM(Z21:Z46)</f>
        <v>2192.9146666666666</v>
      </c>
      <c r="AA18" s="465"/>
      <c r="AB18" s="170" t="s">
        <v>35</v>
      </c>
      <c r="AC18" s="469">
        <f>SUM(AC21:AC46)</f>
        <v>2192.9146666666666</v>
      </c>
      <c r="AD18" s="465"/>
      <c r="AE18" s="170" t="s">
        <v>35</v>
      </c>
      <c r="AF18" s="469">
        <f>SUM(AF21:AF46)</f>
        <v>1904.9146666666666</v>
      </c>
      <c r="AG18" s="465"/>
      <c r="AH18" s="170" t="s">
        <v>35</v>
      </c>
      <c r="AI18" s="469">
        <f>SUM(AI21:AI46)</f>
        <v>2192.9146666666666</v>
      </c>
      <c r="AJ18" s="465"/>
      <c r="AK18" s="170" t="s">
        <v>35</v>
      </c>
      <c r="AL18" s="469">
        <f>SUM(AL21:AL46)</f>
        <v>2192.9146666666666</v>
      </c>
      <c r="AN18" s="114" t="s">
        <v>740</v>
      </c>
      <c r="AO18" s="446">
        <f>SUM(A37,A38,A39,A42)</f>
        <v>4800</v>
      </c>
    </row>
    <row r="19" spans="1:41" x14ac:dyDescent="0.35">
      <c r="A19" s="474" t="s">
        <v>270</v>
      </c>
      <c r="B19" s="470"/>
      <c r="C19" s="544" t="s">
        <v>512</v>
      </c>
      <c r="D19" s="545"/>
      <c r="E19" s="550"/>
      <c r="F19" s="544" t="s">
        <v>512</v>
      </c>
      <c r="G19" s="545"/>
      <c r="H19" s="550"/>
      <c r="I19" s="544" t="s">
        <v>512</v>
      </c>
      <c r="J19" s="545"/>
      <c r="K19" s="550"/>
      <c r="L19" s="544" t="s">
        <v>512</v>
      </c>
      <c r="M19" s="545"/>
      <c r="N19" s="550"/>
      <c r="O19" s="544" t="s">
        <v>512</v>
      </c>
      <c r="P19" s="545"/>
      <c r="Q19" s="550"/>
      <c r="R19" s="544" t="s">
        <v>512</v>
      </c>
      <c r="S19" s="545"/>
      <c r="T19" s="550"/>
      <c r="U19" s="544" t="s">
        <v>512</v>
      </c>
      <c r="V19" s="545"/>
      <c r="W19" s="550"/>
      <c r="X19" s="544" t="s">
        <v>512</v>
      </c>
      <c r="Y19" s="545"/>
      <c r="Z19" s="550"/>
      <c r="AA19" s="544" t="s">
        <v>512</v>
      </c>
      <c r="AB19" s="545"/>
      <c r="AC19" s="550"/>
      <c r="AD19" s="544" t="s">
        <v>512</v>
      </c>
      <c r="AE19" s="545"/>
      <c r="AF19" s="550"/>
      <c r="AG19" s="544" t="s">
        <v>512</v>
      </c>
      <c r="AH19" s="545"/>
      <c r="AI19" s="550"/>
      <c r="AJ19" s="544" t="s">
        <v>512</v>
      </c>
      <c r="AK19" s="545"/>
      <c r="AL19" s="550"/>
      <c r="AN19" s="114" t="s">
        <v>741</v>
      </c>
      <c r="AO19" s="446">
        <f>SUM(A29:A36)</f>
        <v>7020</v>
      </c>
    </row>
    <row r="20" spans="1:41" x14ac:dyDescent="0.35">
      <c r="A20" s="471">
        <f>SUM(A21:A46)</f>
        <v>21898.975999999999</v>
      </c>
      <c r="B20" s="473" t="s">
        <v>693</v>
      </c>
      <c r="C20" s="466" t="s">
        <v>509</v>
      </c>
      <c r="D20" s="467" t="s">
        <v>15</v>
      </c>
      <c r="E20" s="468" t="s">
        <v>368</v>
      </c>
      <c r="F20" s="466" t="s">
        <v>509</v>
      </c>
      <c r="G20" s="467" t="s">
        <v>15</v>
      </c>
      <c r="H20" s="468" t="s">
        <v>368</v>
      </c>
      <c r="I20" s="466" t="s">
        <v>509</v>
      </c>
      <c r="J20" s="467" t="s">
        <v>15</v>
      </c>
      <c r="K20" s="468" t="s">
        <v>368</v>
      </c>
      <c r="L20" s="466" t="s">
        <v>509</v>
      </c>
      <c r="M20" s="467" t="s">
        <v>15</v>
      </c>
      <c r="N20" s="468" t="s">
        <v>368</v>
      </c>
      <c r="O20" s="466" t="s">
        <v>509</v>
      </c>
      <c r="P20" s="467" t="s">
        <v>15</v>
      </c>
      <c r="Q20" s="468" t="s">
        <v>368</v>
      </c>
      <c r="R20" s="466" t="s">
        <v>509</v>
      </c>
      <c r="S20" s="467" t="s">
        <v>15</v>
      </c>
      <c r="T20" s="468" t="s">
        <v>368</v>
      </c>
      <c r="U20" s="466" t="s">
        <v>509</v>
      </c>
      <c r="V20" s="467" t="s">
        <v>15</v>
      </c>
      <c r="W20" s="468" t="s">
        <v>368</v>
      </c>
      <c r="X20" s="466" t="s">
        <v>509</v>
      </c>
      <c r="Y20" s="467" t="s">
        <v>15</v>
      </c>
      <c r="Z20" s="468" t="s">
        <v>368</v>
      </c>
      <c r="AA20" s="466" t="s">
        <v>509</v>
      </c>
      <c r="AB20" s="467" t="s">
        <v>15</v>
      </c>
      <c r="AC20" s="468" t="s">
        <v>368</v>
      </c>
      <c r="AD20" s="466" t="s">
        <v>509</v>
      </c>
      <c r="AE20" s="467" t="s">
        <v>15</v>
      </c>
      <c r="AF20" s="468" t="s">
        <v>368</v>
      </c>
      <c r="AG20" s="466" t="s">
        <v>509</v>
      </c>
      <c r="AH20" s="467" t="s">
        <v>15</v>
      </c>
      <c r="AI20" s="468" t="s">
        <v>368</v>
      </c>
      <c r="AJ20" s="466" t="s">
        <v>509</v>
      </c>
      <c r="AK20" s="467" t="s">
        <v>15</v>
      </c>
      <c r="AL20" s="468" t="s">
        <v>368</v>
      </c>
    </row>
    <row r="21" spans="1:41" x14ac:dyDescent="0.35">
      <c r="A21" s="471">
        <f t="shared" ref="A21:A41" si="1">SUM(E21,H21,K21,N21,Q21,T21,W21,Z21,AC21,AF21,AI21,AL21)</f>
        <v>0</v>
      </c>
      <c r="B21" s="513" t="s">
        <v>483</v>
      </c>
      <c r="C21" s="514">
        <v>0</v>
      </c>
      <c r="D21" s="515" t="str">
        <f>RevenueStreams!$E$12</f>
        <v>Per Hr</v>
      </c>
      <c r="E21" s="512">
        <f>C21*RevenueStreams!$D$12</f>
        <v>0</v>
      </c>
      <c r="F21" s="514">
        <v>0</v>
      </c>
      <c r="G21" s="515" t="str">
        <f>RevenueStreams!$E$12</f>
        <v>Per Hr</v>
      </c>
      <c r="H21" s="512">
        <f>F21*RevenueStreams!$D$12</f>
        <v>0</v>
      </c>
      <c r="I21" s="514">
        <v>0</v>
      </c>
      <c r="J21" s="515" t="str">
        <f>RevenueStreams!$E$12</f>
        <v>Per Hr</v>
      </c>
      <c r="K21" s="512">
        <f>I21*RevenueStreams!$D$12</f>
        <v>0</v>
      </c>
      <c r="L21" s="514">
        <v>0</v>
      </c>
      <c r="M21" s="515" t="str">
        <f>RevenueStreams!$E$12</f>
        <v>Per Hr</v>
      </c>
      <c r="N21" s="512">
        <f>L21*RevenueStreams!$D$12</f>
        <v>0</v>
      </c>
      <c r="O21" s="514">
        <v>0</v>
      </c>
      <c r="P21" s="515" t="str">
        <f>RevenueStreams!$E$12</f>
        <v>Per Hr</v>
      </c>
      <c r="Q21" s="512">
        <f>O21*RevenueStreams!$D$12</f>
        <v>0</v>
      </c>
      <c r="R21" s="514">
        <v>0</v>
      </c>
      <c r="S21" s="515" t="str">
        <f>RevenueStreams!$E$12</f>
        <v>Per Hr</v>
      </c>
      <c r="T21" s="512">
        <f>R21*RevenueStreams!$D$12</f>
        <v>0</v>
      </c>
      <c r="U21" s="514">
        <v>0</v>
      </c>
      <c r="V21" s="515" t="str">
        <f>RevenueStreams!$E$12</f>
        <v>Per Hr</v>
      </c>
      <c r="W21" s="512">
        <f>U21*RevenueStreams!$D$12</f>
        <v>0</v>
      </c>
      <c r="X21" s="514">
        <v>0</v>
      </c>
      <c r="Y21" s="515" t="str">
        <f>RevenueStreams!$E$12</f>
        <v>Per Hr</v>
      </c>
      <c r="Z21" s="512">
        <f>X21*RevenueStreams!$D$12</f>
        <v>0</v>
      </c>
      <c r="AA21" s="514">
        <v>0</v>
      </c>
      <c r="AB21" s="515" t="str">
        <f>RevenueStreams!$E$12</f>
        <v>Per Hr</v>
      </c>
      <c r="AC21" s="512">
        <f>AA21*RevenueStreams!$D$12</f>
        <v>0</v>
      </c>
      <c r="AD21" s="514">
        <v>0</v>
      </c>
      <c r="AE21" s="515" t="str">
        <f>RevenueStreams!$E$12</f>
        <v>Per Hr</v>
      </c>
      <c r="AF21" s="512">
        <f>AD21*RevenueStreams!$D$12</f>
        <v>0</v>
      </c>
      <c r="AG21" s="514">
        <v>0</v>
      </c>
      <c r="AH21" s="515" t="str">
        <f>RevenueStreams!$E$12</f>
        <v>Per Hr</v>
      </c>
      <c r="AI21" s="512">
        <f>AG21*RevenueStreams!$D$12</f>
        <v>0</v>
      </c>
      <c r="AJ21" s="514">
        <v>0</v>
      </c>
      <c r="AK21" s="515" t="str">
        <f>RevenueStreams!$E$12</f>
        <v>Per Hr</v>
      </c>
      <c r="AL21" s="512">
        <f>AJ21*RevenueStreams!$D$12</f>
        <v>0</v>
      </c>
    </row>
    <row r="22" spans="1:41" x14ac:dyDescent="0.35">
      <c r="A22" s="471">
        <f t="shared" si="1"/>
        <v>2304</v>
      </c>
      <c r="B22" s="513" t="s">
        <v>484</v>
      </c>
      <c r="C22" s="514">
        <v>1</v>
      </c>
      <c r="D22" s="515" t="str">
        <f>RevenueStreams!$E$13</f>
        <v>Per Mo</v>
      </c>
      <c r="E22" s="512">
        <f>C22*RevenueStreams!$D$13</f>
        <v>192</v>
      </c>
      <c r="F22" s="514">
        <v>1</v>
      </c>
      <c r="G22" s="515" t="str">
        <f>RevenueStreams!$E$13</f>
        <v>Per Mo</v>
      </c>
      <c r="H22" s="512">
        <f>F22*RevenueStreams!$D$13</f>
        <v>192</v>
      </c>
      <c r="I22" s="514">
        <v>1</v>
      </c>
      <c r="J22" s="515" t="str">
        <f>RevenueStreams!$E$13</f>
        <v>Per Mo</v>
      </c>
      <c r="K22" s="512">
        <f>I22*RevenueStreams!$D$13</f>
        <v>192</v>
      </c>
      <c r="L22" s="514">
        <v>1</v>
      </c>
      <c r="M22" s="515" t="str">
        <f>RevenueStreams!$E$13</f>
        <v>Per Mo</v>
      </c>
      <c r="N22" s="512">
        <f>L22*RevenueStreams!$D$13</f>
        <v>192</v>
      </c>
      <c r="O22" s="514">
        <v>1</v>
      </c>
      <c r="P22" s="515" t="str">
        <f>RevenueStreams!$E$13</f>
        <v>Per Mo</v>
      </c>
      <c r="Q22" s="512">
        <f>O22*RevenueStreams!$D$13</f>
        <v>192</v>
      </c>
      <c r="R22" s="514">
        <v>1</v>
      </c>
      <c r="S22" s="515" t="str">
        <f>RevenueStreams!$E$13</f>
        <v>Per Mo</v>
      </c>
      <c r="T22" s="512">
        <f>R22*RevenueStreams!$D$13</f>
        <v>192</v>
      </c>
      <c r="U22" s="514">
        <v>1</v>
      </c>
      <c r="V22" s="515" t="str">
        <f>RevenueStreams!$E$13</f>
        <v>Per Mo</v>
      </c>
      <c r="W22" s="512">
        <f>U22*RevenueStreams!$D$13</f>
        <v>192</v>
      </c>
      <c r="X22" s="514">
        <v>1</v>
      </c>
      <c r="Y22" s="515" t="str">
        <f>RevenueStreams!$E$13</f>
        <v>Per Mo</v>
      </c>
      <c r="Z22" s="512">
        <f>X22*RevenueStreams!$D$13</f>
        <v>192</v>
      </c>
      <c r="AA22" s="514">
        <v>1</v>
      </c>
      <c r="AB22" s="515" t="str">
        <f>RevenueStreams!$E$13</f>
        <v>Per Mo</v>
      </c>
      <c r="AC22" s="512">
        <f>AA22*RevenueStreams!$D$13</f>
        <v>192</v>
      </c>
      <c r="AD22" s="514">
        <v>1</v>
      </c>
      <c r="AE22" s="515" t="str">
        <f>RevenueStreams!$E$13</f>
        <v>Per Mo</v>
      </c>
      <c r="AF22" s="512">
        <f>AD22*RevenueStreams!$D$13</f>
        <v>192</v>
      </c>
      <c r="AG22" s="514">
        <v>1</v>
      </c>
      <c r="AH22" s="515" t="str">
        <f>RevenueStreams!$E$13</f>
        <v>Per Mo</v>
      </c>
      <c r="AI22" s="512">
        <f>AG22*RevenueStreams!$D$13</f>
        <v>192</v>
      </c>
      <c r="AJ22" s="514">
        <v>1</v>
      </c>
      <c r="AK22" s="515" t="str">
        <f>RevenueStreams!$E$13</f>
        <v>Per Mo</v>
      </c>
      <c r="AL22" s="512">
        <f>AJ22*RevenueStreams!$D$13</f>
        <v>192</v>
      </c>
    </row>
    <row r="23" spans="1:41" x14ac:dyDescent="0.35">
      <c r="A23" s="471">
        <f t="shared" si="1"/>
        <v>1344</v>
      </c>
      <c r="B23" s="513" t="s">
        <v>485</v>
      </c>
      <c r="C23" s="514">
        <v>0</v>
      </c>
      <c r="D23" s="515" t="str">
        <f>RevenueStreams!$E$14</f>
        <v>Per Mo</v>
      </c>
      <c r="E23" s="512">
        <f>C23*RevenueStreams!$D$14</f>
        <v>0</v>
      </c>
      <c r="F23" s="514">
        <v>0</v>
      </c>
      <c r="G23" s="515" t="str">
        <f>RevenueStreams!$E$14</f>
        <v>Per Mo</v>
      </c>
      <c r="H23" s="512">
        <f>F23*RevenueStreams!$D$14</f>
        <v>0</v>
      </c>
      <c r="I23" s="514">
        <v>0</v>
      </c>
      <c r="J23" s="515" t="str">
        <f>RevenueStreams!$E$14</f>
        <v>Per Mo</v>
      </c>
      <c r="K23" s="512">
        <f>I23*RevenueStreams!$D$14</f>
        <v>0</v>
      </c>
      <c r="L23" s="514">
        <v>0</v>
      </c>
      <c r="M23" s="515" t="str">
        <f>RevenueStreams!$E$14</f>
        <v>Per Mo</v>
      </c>
      <c r="N23" s="512">
        <f>L23*RevenueStreams!$D$14</f>
        <v>0</v>
      </c>
      <c r="O23" s="514">
        <v>0</v>
      </c>
      <c r="P23" s="515" t="str">
        <f>RevenueStreams!$E$14</f>
        <v>Per Mo</v>
      </c>
      <c r="Q23" s="512">
        <f>O23*RevenueStreams!$D$14</f>
        <v>0</v>
      </c>
      <c r="R23" s="514">
        <v>1</v>
      </c>
      <c r="S23" s="515" t="str">
        <f>RevenueStreams!$E$14</f>
        <v>Per Mo</v>
      </c>
      <c r="T23" s="512">
        <f>R23*RevenueStreams!$D$14</f>
        <v>192</v>
      </c>
      <c r="U23" s="514">
        <v>1</v>
      </c>
      <c r="V23" s="515" t="str">
        <f>RevenueStreams!$E$14</f>
        <v>Per Mo</v>
      </c>
      <c r="W23" s="512">
        <f>U23*RevenueStreams!$D$14</f>
        <v>192</v>
      </c>
      <c r="X23" s="514">
        <v>1</v>
      </c>
      <c r="Y23" s="515" t="str">
        <f>RevenueStreams!$E$14</f>
        <v>Per Mo</v>
      </c>
      <c r="Z23" s="512">
        <f>X23*RevenueStreams!$D$14</f>
        <v>192</v>
      </c>
      <c r="AA23" s="514">
        <v>1</v>
      </c>
      <c r="AB23" s="515" t="str">
        <f>RevenueStreams!$E$14</f>
        <v>Per Mo</v>
      </c>
      <c r="AC23" s="512">
        <f>AA23*RevenueStreams!$D$14</f>
        <v>192</v>
      </c>
      <c r="AD23" s="514">
        <v>1</v>
      </c>
      <c r="AE23" s="515" t="str">
        <f>RevenueStreams!$E$14</f>
        <v>Per Mo</v>
      </c>
      <c r="AF23" s="512">
        <f>AD23*RevenueStreams!$D$14</f>
        <v>192</v>
      </c>
      <c r="AG23" s="514">
        <v>1</v>
      </c>
      <c r="AH23" s="515" t="str">
        <f>RevenueStreams!$E$14</f>
        <v>Per Mo</v>
      </c>
      <c r="AI23" s="512">
        <f>AG23*RevenueStreams!$D$14</f>
        <v>192</v>
      </c>
      <c r="AJ23" s="514">
        <v>1</v>
      </c>
      <c r="AK23" s="515" t="str">
        <f>RevenueStreams!$E$14</f>
        <v>Per Mo</v>
      </c>
      <c r="AL23" s="512">
        <f>AJ23*RevenueStreams!$D$14</f>
        <v>192</v>
      </c>
    </row>
    <row r="24" spans="1:41" x14ac:dyDescent="0.35">
      <c r="A24" s="471">
        <f t="shared" si="1"/>
        <v>0</v>
      </c>
      <c r="B24" s="513" t="s">
        <v>486</v>
      </c>
      <c r="C24" s="514">
        <v>0</v>
      </c>
      <c r="D24" s="515" t="str">
        <f>RevenueStreams!$E$15</f>
        <v>Per Mo</v>
      </c>
      <c r="E24" s="512">
        <f>C24*RevenueStreams!$D$15</f>
        <v>0</v>
      </c>
      <c r="F24" s="514">
        <v>0</v>
      </c>
      <c r="G24" s="515" t="str">
        <f>RevenueStreams!$E$15</f>
        <v>Per Mo</v>
      </c>
      <c r="H24" s="512">
        <f>F24*RevenueStreams!$D$15</f>
        <v>0</v>
      </c>
      <c r="I24" s="514">
        <v>0</v>
      </c>
      <c r="J24" s="515" t="str">
        <f>RevenueStreams!$E$15</f>
        <v>Per Mo</v>
      </c>
      <c r="K24" s="512">
        <f>I24*RevenueStreams!$D$15</f>
        <v>0</v>
      </c>
      <c r="L24" s="514">
        <v>0</v>
      </c>
      <c r="M24" s="515" t="str">
        <f>RevenueStreams!$E$15</f>
        <v>Per Mo</v>
      </c>
      <c r="N24" s="512">
        <f>L24*RevenueStreams!$D$15</f>
        <v>0</v>
      </c>
      <c r="O24" s="514">
        <v>0</v>
      </c>
      <c r="P24" s="515" t="str">
        <f>RevenueStreams!$E$15</f>
        <v>Per Mo</v>
      </c>
      <c r="Q24" s="512">
        <f>O24*RevenueStreams!$D$15</f>
        <v>0</v>
      </c>
      <c r="R24" s="514">
        <v>0</v>
      </c>
      <c r="S24" s="515" t="str">
        <f>RevenueStreams!$E$15</f>
        <v>Per Mo</v>
      </c>
      <c r="T24" s="512">
        <f>R24*RevenueStreams!$D$15</f>
        <v>0</v>
      </c>
      <c r="U24" s="514">
        <v>0</v>
      </c>
      <c r="V24" s="515" t="str">
        <f>RevenueStreams!$E$15</f>
        <v>Per Mo</v>
      </c>
      <c r="W24" s="512">
        <f>U24*RevenueStreams!$D$15</f>
        <v>0</v>
      </c>
      <c r="X24" s="514">
        <v>0</v>
      </c>
      <c r="Y24" s="515" t="str">
        <f>RevenueStreams!$E$15</f>
        <v>Per Mo</v>
      </c>
      <c r="Z24" s="512">
        <f>X24*RevenueStreams!$D$15</f>
        <v>0</v>
      </c>
      <c r="AA24" s="514">
        <v>0</v>
      </c>
      <c r="AB24" s="515" t="str">
        <f>RevenueStreams!$E$15</f>
        <v>Per Mo</v>
      </c>
      <c r="AC24" s="512">
        <f>AA24*RevenueStreams!$D$15</f>
        <v>0</v>
      </c>
      <c r="AD24" s="514">
        <v>0</v>
      </c>
      <c r="AE24" s="515" t="str">
        <f>RevenueStreams!$E$15</f>
        <v>Per Mo</v>
      </c>
      <c r="AF24" s="512">
        <f>AD24*RevenueStreams!$D$15</f>
        <v>0</v>
      </c>
      <c r="AG24" s="514">
        <v>0</v>
      </c>
      <c r="AH24" s="515" t="str">
        <f>RevenueStreams!$E$15</f>
        <v>Per Mo</v>
      </c>
      <c r="AI24" s="512">
        <f>AG24*RevenueStreams!$D$15</f>
        <v>0</v>
      </c>
      <c r="AJ24" s="514">
        <v>0</v>
      </c>
      <c r="AK24" s="515" t="str">
        <f>RevenueStreams!$E$15</f>
        <v>Per Mo</v>
      </c>
      <c r="AL24" s="512">
        <f>AJ24*RevenueStreams!$D$15</f>
        <v>0</v>
      </c>
    </row>
    <row r="25" spans="1:41" x14ac:dyDescent="0.35">
      <c r="A25" s="471">
        <f t="shared" si="1"/>
        <v>1728</v>
      </c>
      <c r="B25" s="513" t="s">
        <v>530</v>
      </c>
      <c r="C25" s="514">
        <v>0</v>
      </c>
      <c r="D25" s="515" t="str">
        <f>RevenueStreams!$E$16</f>
        <v>Per Mo</v>
      </c>
      <c r="E25" s="512">
        <f>C25*RevenueStreams!$D$16</f>
        <v>0</v>
      </c>
      <c r="F25" s="514">
        <v>0</v>
      </c>
      <c r="G25" s="515" t="str">
        <f>RevenueStreams!$E$16</f>
        <v>Per Mo</v>
      </c>
      <c r="H25" s="512">
        <f>F25*RevenueStreams!$D$16</f>
        <v>0</v>
      </c>
      <c r="I25" s="514">
        <v>0</v>
      </c>
      <c r="J25" s="515" t="str">
        <f>RevenueStreams!$E$16</f>
        <v>Per Mo</v>
      </c>
      <c r="K25" s="512">
        <f>I25*RevenueStreams!$D$16</f>
        <v>0</v>
      </c>
      <c r="L25" s="514">
        <v>0</v>
      </c>
      <c r="M25" s="515" t="str">
        <f>RevenueStreams!$E$16</f>
        <v>Per Mo</v>
      </c>
      <c r="N25" s="512">
        <f>L25*RevenueStreams!$D$16</f>
        <v>0</v>
      </c>
      <c r="O25" s="514">
        <v>0</v>
      </c>
      <c r="P25" s="515" t="str">
        <f>RevenueStreams!$E$16</f>
        <v>Per Mo</v>
      </c>
      <c r="Q25" s="512">
        <f>O25*RevenueStreams!$D$16</f>
        <v>0</v>
      </c>
      <c r="R25" s="514">
        <v>0</v>
      </c>
      <c r="S25" s="515" t="str">
        <f>RevenueStreams!$E$16</f>
        <v>Per Mo</v>
      </c>
      <c r="T25" s="512">
        <f>R25*RevenueStreams!$D$16</f>
        <v>0</v>
      </c>
      <c r="U25" s="514">
        <v>1</v>
      </c>
      <c r="V25" s="515" t="str">
        <f>RevenueStreams!$E$16</f>
        <v>Per Mo</v>
      </c>
      <c r="W25" s="512">
        <f>U25*RevenueStreams!$D$16</f>
        <v>288</v>
      </c>
      <c r="X25" s="514">
        <v>1</v>
      </c>
      <c r="Y25" s="515" t="str">
        <f>RevenueStreams!$E$16</f>
        <v>Per Mo</v>
      </c>
      <c r="Z25" s="512">
        <f>X25*RevenueStreams!$D$16</f>
        <v>288</v>
      </c>
      <c r="AA25" s="514">
        <v>1</v>
      </c>
      <c r="AB25" s="515" t="str">
        <f>RevenueStreams!$E$16</f>
        <v>Per Mo</v>
      </c>
      <c r="AC25" s="512">
        <f>AA25*RevenueStreams!$D$16</f>
        <v>288</v>
      </c>
      <c r="AD25" s="514">
        <v>1</v>
      </c>
      <c r="AE25" s="515" t="str">
        <f>RevenueStreams!$E$16</f>
        <v>Per Mo</v>
      </c>
      <c r="AF25" s="512">
        <f>AD25*RevenueStreams!$D$16</f>
        <v>288</v>
      </c>
      <c r="AG25" s="514">
        <v>1</v>
      </c>
      <c r="AH25" s="515" t="str">
        <f>RevenueStreams!$E$16</f>
        <v>Per Mo</v>
      </c>
      <c r="AI25" s="512">
        <f>AG25*RevenueStreams!$D$16</f>
        <v>288</v>
      </c>
      <c r="AJ25" s="514">
        <v>1</v>
      </c>
      <c r="AK25" s="515" t="str">
        <f>RevenueStreams!$E$16</f>
        <v>Per Mo</v>
      </c>
      <c r="AL25" s="512">
        <f>AJ25*RevenueStreams!$D$16</f>
        <v>288</v>
      </c>
    </row>
    <row r="26" spans="1:41" x14ac:dyDescent="0.35">
      <c r="A26" s="471">
        <f t="shared" si="1"/>
        <v>1728</v>
      </c>
      <c r="B26" s="513" t="s">
        <v>487</v>
      </c>
      <c r="C26" s="514">
        <v>0</v>
      </c>
      <c r="D26" s="515" t="str">
        <f>RevenueStreams!$E$17</f>
        <v>Per Mo</v>
      </c>
      <c r="E26" s="512">
        <f>C26*RevenueStreams!$D$17</f>
        <v>0</v>
      </c>
      <c r="F26" s="514">
        <v>0</v>
      </c>
      <c r="G26" s="515" t="str">
        <f>RevenueStreams!$E$17</f>
        <v>Per Mo</v>
      </c>
      <c r="H26" s="512">
        <f>F26*RevenueStreams!$D$17</f>
        <v>0</v>
      </c>
      <c r="I26" s="514">
        <v>0</v>
      </c>
      <c r="J26" s="515" t="str">
        <f>RevenueStreams!$E$17</f>
        <v>Per Mo</v>
      </c>
      <c r="K26" s="512">
        <f>I26*RevenueStreams!$D$17</f>
        <v>0</v>
      </c>
      <c r="L26" s="514">
        <v>0</v>
      </c>
      <c r="M26" s="515" t="str">
        <f>RevenueStreams!$E$17</f>
        <v>Per Mo</v>
      </c>
      <c r="N26" s="512">
        <f>L26*RevenueStreams!$D$17</f>
        <v>0</v>
      </c>
      <c r="O26" s="514">
        <v>0</v>
      </c>
      <c r="P26" s="515" t="str">
        <f>RevenueStreams!$E$17</f>
        <v>Per Mo</v>
      </c>
      <c r="Q26" s="512">
        <f>O26*RevenueStreams!$D$17</f>
        <v>0</v>
      </c>
      <c r="R26" s="514">
        <v>1</v>
      </c>
      <c r="S26" s="515" t="str">
        <f>RevenueStreams!$E$17</f>
        <v>Per Mo</v>
      </c>
      <c r="T26" s="512">
        <f>R26*RevenueStreams!$D$17</f>
        <v>288</v>
      </c>
      <c r="U26" s="514">
        <v>1</v>
      </c>
      <c r="V26" s="515" t="str">
        <f>RevenueStreams!$E$17</f>
        <v>Per Mo</v>
      </c>
      <c r="W26" s="512">
        <f>U26*RevenueStreams!$D$17</f>
        <v>288</v>
      </c>
      <c r="X26" s="514">
        <v>1</v>
      </c>
      <c r="Y26" s="515" t="str">
        <f>RevenueStreams!$E$17</f>
        <v>Per Mo</v>
      </c>
      <c r="Z26" s="512">
        <f>X26*RevenueStreams!$D$17</f>
        <v>288</v>
      </c>
      <c r="AA26" s="514">
        <v>1</v>
      </c>
      <c r="AB26" s="515" t="str">
        <f>RevenueStreams!$E$17</f>
        <v>Per Mo</v>
      </c>
      <c r="AC26" s="512">
        <f>AA26*RevenueStreams!$D$17</f>
        <v>288</v>
      </c>
      <c r="AD26" s="514">
        <v>0</v>
      </c>
      <c r="AE26" s="515" t="str">
        <f>RevenueStreams!$E$17</f>
        <v>Per Mo</v>
      </c>
      <c r="AF26" s="512">
        <f>AD26*RevenueStreams!$D$17</f>
        <v>0</v>
      </c>
      <c r="AG26" s="514">
        <v>1</v>
      </c>
      <c r="AH26" s="515" t="str">
        <f>RevenueStreams!$E$17</f>
        <v>Per Mo</v>
      </c>
      <c r="AI26" s="512">
        <f>AG26*RevenueStreams!$D$17</f>
        <v>288</v>
      </c>
      <c r="AJ26" s="514">
        <v>1</v>
      </c>
      <c r="AK26" s="515" t="str">
        <f>RevenueStreams!$E$17</f>
        <v>Per Mo</v>
      </c>
      <c r="AL26" s="512">
        <f>AJ26*RevenueStreams!$D$17</f>
        <v>288</v>
      </c>
    </row>
    <row r="27" spans="1:41" x14ac:dyDescent="0.35">
      <c r="A27" s="471">
        <f t="shared" si="1"/>
        <v>0</v>
      </c>
      <c r="B27" s="513" t="s">
        <v>488</v>
      </c>
      <c r="C27" s="514">
        <v>0</v>
      </c>
      <c r="D27" s="515" t="str">
        <f>RevenueStreams!$E$18</f>
        <v>Per Mo</v>
      </c>
      <c r="E27" s="512">
        <f>C27*RevenueStreams!$D$18</f>
        <v>0</v>
      </c>
      <c r="F27" s="514">
        <v>0</v>
      </c>
      <c r="G27" s="515" t="str">
        <f>RevenueStreams!$E$18</f>
        <v>Per Mo</v>
      </c>
      <c r="H27" s="512">
        <f>F27*RevenueStreams!$D$18</f>
        <v>0</v>
      </c>
      <c r="I27" s="514">
        <v>0</v>
      </c>
      <c r="J27" s="515" t="str">
        <f>RevenueStreams!$E$18</f>
        <v>Per Mo</v>
      </c>
      <c r="K27" s="512">
        <f>I27*RevenueStreams!$D$18</f>
        <v>0</v>
      </c>
      <c r="L27" s="514">
        <v>0</v>
      </c>
      <c r="M27" s="515" t="str">
        <f>RevenueStreams!$E$18</f>
        <v>Per Mo</v>
      </c>
      <c r="N27" s="512">
        <f>L27*RevenueStreams!$D$18</f>
        <v>0</v>
      </c>
      <c r="O27" s="514">
        <v>0</v>
      </c>
      <c r="P27" s="515" t="str">
        <f>RevenueStreams!$E$18</f>
        <v>Per Mo</v>
      </c>
      <c r="Q27" s="512">
        <f>O27*RevenueStreams!$D$18</f>
        <v>0</v>
      </c>
      <c r="R27" s="514">
        <v>0</v>
      </c>
      <c r="S27" s="515" t="str">
        <f>RevenueStreams!$E$18</f>
        <v>Per Mo</v>
      </c>
      <c r="T27" s="512">
        <f>R27*RevenueStreams!$D$18</f>
        <v>0</v>
      </c>
      <c r="U27" s="514">
        <v>0</v>
      </c>
      <c r="V27" s="515" t="str">
        <f>RevenueStreams!$E$18</f>
        <v>Per Mo</v>
      </c>
      <c r="W27" s="512">
        <f>U27*RevenueStreams!$D$18</f>
        <v>0</v>
      </c>
      <c r="X27" s="514">
        <v>0</v>
      </c>
      <c r="Y27" s="515" t="str">
        <f>RevenueStreams!$E$18</f>
        <v>Per Mo</v>
      </c>
      <c r="Z27" s="512">
        <f>X27*RevenueStreams!$D$18</f>
        <v>0</v>
      </c>
      <c r="AA27" s="514">
        <v>0</v>
      </c>
      <c r="AB27" s="515" t="str">
        <f>RevenueStreams!$E$18</f>
        <v>Per Mo</v>
      </c>
      <c r="AC27" s="512">
        <f>AA27*RevenueStreams!$D$18</f>
        <v>0</v>
      </c>
      <c r="AD27" s="514">
        <v>0</v>
      </c>
      <c r="AE27" s="515" t="str">
        <f>RevenueStreams!$E$18</f>
        <v>Per Mo</v>
      </c>
      <c r="AF27" s="512">
        <f>AD27*RevenueStreams!$D$18</f>
        <v>0</v>
      </c>
      <c r="AG27" s="514">
        <v>0</v>
      </c>
      <c r="AH27" s="515" t="str">
        <f>RevenueStreams!$E$18</f>
        <v>Per Mo</v>
      </c>
      <c r="AI27" s="512">
        <f>AG27*RevenueStreams!$D$18</f>
        <v>0</v>
      </c>
      <c r="AJ27" s="514">
        <v>0</v>
      </c>
      <c r="AK27" s="515" t="str">
        <f>RevenueStreams!$E$18</f>
        <v>Per Mo</v>
      </c>
      <c r="AL27" s="512">
        <f>AJ27*RevenueStreams!$D$18</f>
        <v>0</v>
      </c>
    </row>
    <row r="28" spans="1:41" x14ac:dyDescent="0.35">
      <c r="A28" s="471">
        <f t="shared" si="1"/>
        <v>0</v>
      </c>
      <c r="B28" s="513" t="s">
        <v>489</v>
      </c>
      <c r="C28" s="514">
        <v>0</v>
      </c>
      <c r="D28" s="515" t="str">
        <f>RevenueStreams!$E$19</f>
        <v>Per Mo</v>
      </c>
      <c r="E28" s="512">
        <f>C28*RevenueStreams!$D$19</f>
        <v>0</v>
      </c>
      <c r="F28" s="514">
        <v>0</v>
      </c>
      <c r="G28" s="515" t="str">
        <f>RevenueStreams!$E$19</f>
        <v>Per Mo</v>
      </c>
      <c r="H28" s="512">
        <f>F28*RevenueStreams!$D$19</f>
        <v>0</v>
      </c>
      <c r="I28" s="514">
        <v>0</v>
      </c>
      <c r="J28" s="515" t="str">
        <f>RevenueStreams!$E$19</f>
        <v>Per Mo</v>
      </c>
      <c r="K28" s="512">
        <f>I28*RevenueStreams!$D$19</f>
        <v>0</v>
      </c>
      <c r="L28" s="514">
        <v>0</v>
      </c>
      <c r="M28" s="515" t="str">
        <f>RevenueStreams!$E$19</f>
        <v>Per Mo</v>
      </c>
      <c r="N28" s="512">
        <f>L28*RevenueStreams!$D$19</f>
        <v>0</v>
      </c>
      <c r="O28" s="514">
        <v>0</v>
      </c>
      <c r="P28" s="515" t="str">
        <f>RevenueStreams!$E$19</f>
        <v>Per Mo</v>
      </c>
      <c r="Q28" s="512">
        <f>O28*RevenueStreams!$D$19</f>
        <v>0</v>
      </c>
      <c r="R28" s="514">
        <v>0</v>
      </c>
      <c r="S28" s="515" t="str">
        <f>RevenueStreams!$E$19</f>
        <v>Per Mo</v>
      </c>
      <c r="T28" s="512">
        <f>R28*RevenueStreams!$D$19</f>
        <v>0</v>
      </c>
      <c r="U28" s="514">
        <v>0</v>
      </c>
      <c r="V28" s="515" t="str">
        <f>RevenueStreams!$E$19</f>
        <v>Per Mo</v>
      </c>
      <c r="W28" s="512">
        <f>U28*RevenueStreams!$D$19</f>
        <v>0</v>
      </c>
      <c r="X28" s="514">
        <v>0</v>
      </c>
      <c r="Y28" s="515" t="str">
        <f>RevenueStreams!$E$19</f>
        <v>Per Mo</v>
      </c>
      <c r="Z28" s="512">
        <f>X28*RevenueStreams!$D$19</f>
        <v>0</v>
      </c>
      <c r="AA28" s="514">
        <v>0</v>
      </c>
      <c r="AB28" s="515" t="str">
        <f>RevenueStreams!$E$19</f>
        <v>Per Mo</v>
      </c>
      <c r="AC28" s="512">
        <f>AA28*RevenueStreams!$D$19</f>
        <v>0</v>
      </c>
      <c r="AD28" s="514">
        <v>0</v>
      </c>
      <c r="AE28" s="515" t="str">
        <f>RevenueStreams!$E$19</f>
        <v>Per Mo</v>
      </c>
      <c r="AF28" s="512">
        <f>AD28*RevenueStreams!$D$19</f>
        <v>0</v>
      </c>
      <c r="AG28" s="514">
        <v>0</v>
      </c>
      <c r="AH28" s="515" t="str">
        <f>RevenueStreams!$E$19</f>
        <v>Per Mo</v>
      </c>
      <c r="AI28" s="512">
        <f>AG28*RevenueStreams!$D$19</f>
        <v>0</v>
      </c>
      <c r="AJ28" s="514">
        <v>0</v>
      </c>
      <c r="AK28" s="515" t="str">
        <f>RevenueStreams!$E$19</f>
        <v>Per Mo</v>
      </c>
      <c r="AL28" s="512">
        <f>AJ28*RevenueStreams!$D$19</f>
        <v>0</v>
      </c>
    </row>
    <row r="29" spans="1:41" x14ac:dyDescent="0.35">
      <c r="A29" s="471">
        <f t="shared" si="1"/>
        <v>0</v>
      </c>
      <c r="B29" s="513" t="s">
        <v>496</v>
      </c>
      <c r="C29" s="514">
        <v>0</v>
      </c>
      <c r="D29" s="515" t="str">
        <f>RevenueStreams!$E$20</f>
        <v>Per  Hr</v>
      </c>
      <c r="E29" s="512">
        <f>C29*RevenueStreams!$D$20</f>
        <v>0</v>
      </c>
      <c r="F29" s="514">
        <v>0</v>
      </c>
      <c r="G29" s="515" t="str">
        <f>RevenueStreams!$E$20</f>
        <v>Per  Hr</v>
      </c>
      <c r="H29" s="512">
        <f>F29*RevenueStreams!$D$20</f>
        <v>0</v>
      </c>
      <c r="I29" s="514">
        <v>0</v>
      </c>
      <c r="J29" s="515" t="str">
        <f>RevenueStreams!$E$20</f>
        <v>Per  Hr</v>
      </c>
      <c r="K29" s="512">
        <f>I29*RevenueStreams!$D$20</f>
        <v>0</v>
      </c>
      <c r="L29" s="514">
        <v>0</v>
      </c>
      <c r="M29" s="515" t="str">
        <f>RevenueStreams!$E$20</f>
        <v>Per  Hr</v>
      </c>
      <c r="N29" s="512">
        <f>L29*RevenueStreams!$D$20</f>
        <v>0</v>
      </c>
      <c r="O29" s="514">
        <v>0</v>
      </c>
      <c r="P29" s="515" t="str">
        <f>RevenueStreams!$E$20</f>
        <v>Per  Hr</v>
      </c>
      <c r="Q29" s="512">
        <f>O29*RevenueStreams!$D$20</f>
        <v>0</v>
      </c>
      <c r="R29" s="514">
        <v>0</v>
      </c>
      <c r="S29" s="515" t="str">
        <f>RevenueStreams!$E$20</f>
        <v>Per  Hr</v>
      </c>
      <c r="T29" s="512">
        <f>R29*RevenueStreams!$D$20</f>
        <v>0</v>
      </c>
      <c r="U29" s="514">
        <v>0</v>
      </c>
      <c r="V29" s="515" t="str">
        <f>RevenueStreams!$E$20</f>
        <v>Per  Hr</v>
      </c>
      <c r="W29" s="512">
        <f>U29*RevenueStreams!$D$20</f>
        <v>0</v>
      </c>
      <c r="X29" s="514">
        <v>0</v>
      </c>
      <c r="Y29" s="515" t="str">
        <f>RevenueStreams!$E$20</f>
        <v>Per  Hr</v>
      </c>
      <c r="Z29" s="512">
        <f>X29*RevenueStreams!$D$20</f>
        <v>0</v>
      </c>
      <c r="AA29" s="514">
        <v>0</v>
      </c>
      <c r="AB29" s="515" t="str">
        <f>RevenueStreams!$E$20</f>
        <v>Per  Hr</v>
      </c>
      <c r="AC29" s="512">
        <f>AA29*RevenueStreams!$D$20</f>
        <v>0</v>
      </c>
      <c r="AD29" s="514">
        <v>0</v>
      </c>
      <c r="AE29" s="515" t="str">
        <f>RevenueStreams!$E$20</f>
        <v>Per  Hr</v>
      </c>
      <c r="AF29" s="512">
        <f>AD29*RevenueStreams!$D$20</f>
        <v>0</v>
      </c>
      <c r="AG29" s="514">
        <v>0</v>
      </c>
      <c r="AH29" s="515" t="str">
        <f>RevenueStreams!$E$20</f>
        <v>Per  Hr</v>
      </c>
      <c r="AI29" s="512">
        <f>AG29*RevenueStreams!$D$20</f>
        <v>0</v>
      </c>
      <c r="AJ29" s="514">
        <v>0</v>
      </c>
      <c r="AK29" s="515" t="str">
        <f>RevenueStreams!$E$20</f>
        <v>Per  Hr</v>
      </c>
      <c r="AL29" s="512">
        <f>AJ29*RevenueStreams!$D$20</f>
        <v>0</v>
      </c>
    </row>
    <row r="30" spans="1:41" x14ac:dyDescent="0.35">
      <c r="A30" s="471">
        <f t="shared" si="1"/>
        <v>0</v>
      </c>
      <c r="B30" s="513" t="s">
        <v>497</v>
      </c>
      <c r="C30" s="514">
        <v>0</v>
      </c>
      <c r="D30" s="515" t="str">
        <f>RevenueStreams!$E$21</f>
        <v>Per  Hr</v>
      </c>
      <c r="E30" s="512">
        <f>C30*RevenueStreams!$D$21</f>
        <v>0</v>
      </c>
      <c r="F30" s="514">
        <v>0</v>
      </c>
      <c r="G30" s="515" t="str">
        <f>RevenueStreams!$E$21</f>
        <v>Per  Hr</v>
      </c>
      <c r="H30" s="512">
        <f>F30*RevenueStreams!$D$21</f>
        <v>0</v>
      </c>
      <c r="I30" s="514">
        <v>0</v>
      </c>
      <c r="J30" s="515" t="str">
        <f>RevenueStreams!$E$21</f>
        <v>Per  Hr</v>
      </c>
      <c r="K30" s="512">
        <f>I30*RevenueStreams!$D$21</f>
        <v>0</v>
      </c>
      <c r="L30" s="514">
        <v>0</v>
      </c>
      <c r="M30" s="515" t="str">
        <f>RevenueStreams!$E$21</f>
        <v>Per  Hr</v>
      </c>
      <c r="N30" s="512">
        <f>L30*RevenueStreams!$D$21</f>
        <v>0</v>
      </c>
      <c r="O30" s="514">
        <v>0</v>
      </c>
      <c r="P30" s="515" t="str">
        <f>RevenueStreams!$E$21</f>
        <v>Per  Hr</v>
      </c>
      <c r="Q30" s="512">
        <f>O30*RevenueStreams!$D$21</f>
        <v>0</v>
      </c>
      <c r="R30" s="514">
        <v>0</v>
      </c>
      <c r="S30" s="515" t="str">
        <f>RevenueStreams!$E$21</f>
        <v>Per  Hr</v>
      </c>
      <c r="T30" s="512">
        <f>R30*RevenueStreams!$D$21</f>
        <v>0</v>
      </c>
      <c r="U30" s="514">
        <v>0</v>
      </c>
      <c r="V30" s="515" t="str">
        <f>RevenueStreams!$E$21</f>
        <v>Per  Hr</v>
      </c>
      <c r="W30" s="512">
        <f>U30*RevenueStreams!$D$21</f>
        <v>0</v>
      </c>
      <c r="X30" s="514">
        <v>0</v>
      </c>
      <c r="Y30" s="515" t="str">
        <f>RevenueStreams!$E$21</f>
        <v>Per  Hr</v>
      </c>
      <c r="Z30" s="512">
        <f>X30*RevenueStreams!$D$21</f>
        <v>0</v>
      </c>
      <c r="AA30" s="514">
        <v>0</v>
      </c>
      <c r="AB30" s="515" t="str">
        <f>RevenueStreams!$E$21</f>
        <v>Per  Hr</v>
      </c>
      <c r="AC30" s="512">
        <f>AA30*RevenueStreams!$D$21</f>
        <v>0</v>
      </c>
      <c r="AD30" s="514">
        <v>0</v>
      </c>
      <c r="AE30" s="515" t="str">
        <f>RevenueStreams!$E$21</f>
        <v>Per  Hr</v>
      </c>
      <c r="AF30" s="512">
        <f>AD30*RevenueStreams!$D$21</f>
        <v>0</v>
      </c>
      <c r="AG30" s="514">
        <v>0</v>
      </c>
      <c r="AH30" s="515" t="str">
        <f>RevenueStreams!$E$21</f>
        <v>Per  Hr</v>
      </c>
      <c r="AI30" s="512">
        <f>AG30*RevenueStreams!$D$21</f>
        <v>0</v>
      </c>
      <c r="AJ30" s="514">
        <v>0</v>
      </c>
      <c r="AK30" s="515" t="str">
        <f>RevenueStreams!$E$21</f>
        <v>Per  Hr</v>
      </c>
      <c r="AL30" s="512">
        <f>AJ30*RevenueStreams!$D$21</f>
        <v>0</v>
      </c>
    </row>
    <row r="31" spans="1:41" x14ac:dyDescent="0.35">
      <c r="A31" s="471">
        <f t="shared" si="1"/>
        <v>0</v>
      </c>
      <c r="B31" s="513" t="s">
        <v>498</v>
      </c>
      <c r="C31" s="514">
        <v>0</v>
      </c>
      <c r="D31" s="515" t="str">
        <f>RevenueStreams!$E$22</f>
        <v>Per  Hr</v>
      </c>
      <c r="E31" s="512">
        <f>C31*RevenueStreams!$D$22</f>
        <v>0</v>
      </c>
      <c r="F31" s="514">
        <v>0</v>
      </c>
      <c r="G31" s="515" t="str">
        <f>RevenueStreams!$E$22</f>
        <v>Per  Hr</v>
      </c>
      <c r="H31" s="512">
        <f>F31*RevenueStreams!$D$22</f>
        <v>0</v>
      </c>
      <c r="I31" s="514">
        <v>0</v>
      </c>
      <c r="J31" s="515" t="str">
        <f>RevenueStreams!$E$22</f>
        <v>Per  Hr</v>
      </c>
      <c r="K31" s="512">
        <f>I31*RevenueStreams!$D$22</f>
        <v>0</v>
      </c>
      <c r="L31" s="514">
        <v>0</v>
      </c>
      <c r="M31" s="515" t="str">
        <f>RevenueStreams!$E$22</f>
        <v>Per  Hr</v>
      </c>
      <c r="N31" s="512">
        <f>L31*RevenueStreams!$D$22</f>
        <v>0</v>
      </c>
      <c r="O31" s="514">
        <v>0</v>
      </c>
      <c r="P31" s="515" t="str">
        <f>RevenueStreams!$E$22</f>
        <v>Per  Hr</v>
      </c>
      <c r="Q31" s="512">
        <f>O31*RevenueStreams!$D$22</f>
        <v>0</v>
      </c>
      <c r="R31" s="514">
        <v>0</v>
      </c>
      <c r="S31" s="515" t="str">
        <f>RevenueStreams!$E$22</f>
        <v>Per  Hr</v>
      </c>
      <c r="T31" s="512">
        <f>R31*RevenueStreams!$D$22</f>
        <v>0</v>
      </c>
      <c r="U31" s="514">
        <v>0</v>
      </c>
      <c r="V31" s="515" t="str">
        <f>RevenueStreams!$E$22</f>
        <v>Per  Hr</v>
      </c>
      <c r="W31" s="512">
        <f>U31*RevenueStreams!$D$22</f>
        <v>0</v>
      </c>
      <c r="X31" s="514">
        <v>0</v>
      </c>
      <c r="Y31" s="515" t="str">
        <f>RevenueStreams!$E$22</f>
        <v>Per  Hr</v>
      </c>
      <c r="Z31" s="512">
        <f>X31*RevenueStreams!$D$22</f>
        <v>0</v>
      </c>
      <c r="AA31" s="514">
        <v>0</v>
      </c>
      <c r="AB31" s="515" t="str">
        <f>RevenueStreams!$E$22</f>
        <v>Per  Hr</v>
      </c>
      <c r="AC31" s="512">
        <f>AA31*RevenueStreams!$D$22</f>
        <v>0</v>
      </c>
      <c r="AD31" s="514">
        <v>0</v>
      </c>
      <c r="AE31" s="515" t="str">
        <f>RevenueStreams!$E$22</f>
        <v>Per  Hr</v>
      </c>
      <c r="AF31" s="512">
        <f>AD31*RevenueStreams!$D$22</f>
        <v>0</v>
      </c>
      <c r="AG31" s="514">
        <v>0</v>
      </c>
      <c r="AH31" s="515" t="str">
        <f>RevenueStreams!$E$22</f>
        <v>Per  Hr</v>
      </c>
      <c r="AI31" s="512">
        <f>AG31*RevenueStreams!$D$22</f>
        <v>0</v>
      </c>
      <c r="AJ31" s="514">
        <v>0</v>
      </c>
      <c r="AK31" s="515" t="str">
        <f>RevenueStreams!$E$22</f>
        <v>Per  Hr</v>
      </c>
      <c r="AL31" s="512">
        <f>AJ31*RevenueStreams!$D$22</f>
        <v>0</v>
      </c>
    </row>
    <row r="32" spans="1:41" x14ac:dyDescent="0.35">
      <c r="A32" s="471">
        <f t="shared" si="1"/>
        <v>300</v>
      </c>
      <c r="B32" s="513" t="s">
        <v>272</v>
      </c>
      <c r="C32" s="514">
        <v>1</v>
      </c>
      <c r="D32" s="515" t="str">
        <f>RevenueStreams!$E$23</f>
        <v>Per  Pallet</v>
      </c>
      <c r="E32" s="512">
        <f>C32*RevenueStreams!$D$23</f>
        <v>25</v>
      </c>
      <c r="F32" s="514">
        <v>1</v>
      </c>
      <c r="G32" s="515" t="str">
        <f>RevenueStreams!$E$23</f>
        <v>Per  Pallet</v>
      </c>
      <c r="H32" s="512">
        <f>F32*RevenueStreams!$D$23</f>
        <v>25</v>
      </c>
      <c r="I32" s="514">
        <v>1</v>
      </c>
      <c r="J32" s="515" t="str">
        <f>RevenueStreams!$E$23</f>
        <v>Per  Pallet</v>
      </c>
      <c r="K32" s="512">
        <f>I32*RevenueStreams!$D$23</f>
        <v>25</v>
      </c>
      <c r="L32" s="514">
        <v>1</v>
      </c>
      <c r="M32" s="515" t="str">
        <f>RevenueStreams!$E$23</f>
        <v>Per  Pallet</v>
      </c>
      <c r="N32" s="512">
        <f>L32*RevenueStreams!$D$23</f>
        <v>25</v>
      </c>
      <c r="O32" s="514">
        <v>1</v>
      </c>
      <c r="P32" s="515" t="str">
        <f>RevenueStreams!$E$23</f>
        <v>Per  Pallet</v>
      </c>
      <c r="Q32" s="512">
        <f>O32*RevenueStreams!$D$23</f>
        <v>25</v>
      </c>
      <c r="R32" s="514">
        <v>1</v>
      </c>
      <c r="S32" s="515" t="str">
        <f>RevenueStreams!$E$23</f>
        <v>Per  Pallet</v>
      </c>
      <c r="T32" s="512">
        <f>R32*RevenueStreams!$D$23</f>
        <v>25</v>
      </c>
      <c r="U32" s="514">
        <v>1</v>
      </c>
      <c r="V32" s="515" t="str">
        <f>RevenueStreams!$E$23</f>
        <v>Per  Pallet</v>
      </c>
      <c r="W32" s="512">
        <f>U32*RevenueStreams!$D$23</f>
        <v>25</v>
      </c>
      <c r="X32" s="514">
        <v>1</v>
      </c>
      <c r="Y32" s="515" t="str">
        <f>RevenueStreams!$E$23</f>
        <v>Per  Pallet</v>
      </c>
      <c r="Z32" s="512">
        <f>X32*RevenueStreams!$D$23</f>
        <v>25</v>
      </c>
      <c r="AA32" s="514">
        <v>1</v>
      </c>
      <c r="AB32" s="515" t="str">
        <f>RevenueStreams!$E$23</f>
        <v>Per  Pallet</v>
      </c>
      <c r="AC32" s="512">
        <f>AA32*RevenueStreams!$D$23</f>
        <v>25</v>
      </c>
      <c r="AD32" s="514">
        <v>1</v>
      </c>
      <c r="AE32" s="515" t="str">
        <f>RevenueStreams!$E$23</f>
        <v>Per  Pallet</v>
      </c>
      <c r="AF32" s="512">
        <f>AD32*RevenueStreams!$D$23</f>
        <v>25</v>
      </c>
      <c r="AG32" s="514">
        <v>1</v>
      </c>
      <c r="AH32" s="515" t="str">
        <f>RevenueStreams!$E$23</f>
        <v>Per  Pallet</v>
      </c>
      <c r="AI32" s="512">
        <f>AG32*RevenueStreams!$D$23</f>
        <v>25</v>
      </c>
      <c r="AJ32" s="514">
        <v>1</v>
      </c>
      <c r="AK32" s="515" t="str">
        <f>RevenueStreams!$E$23</f>
        <v>Per  Pallet</v>
      </c>
      <c r="AL32" s="512">
        <f>AJ32*RevenueStreams!$D$23</f>
        <v>25</v>
      </c>
    </row>
    <row r="33" spans="1:38" x14ac:dyDescent="0.35">
      <c r="A33" s="471">
        <f t="shared" si="1"/>
        <v>420</v>
      </c>
      <c r="B33" s="513" t="s">
        <v>490</v>
      </c>
      <c r="C33" s="514">
        <v>1</v>
      </c>
      <c r="D33" s="515" t="str">
        <f>RevenueStreams!$E$24</f>
        <v>Per  Pallet</v>
      </c>
      <c r="E33" s="512">
        <f>C33*RevenueStreams!$D$24</f>
        <v>35</v>
      </c>
      <c r="F33" s="514">
        <v>1</v>
      </c>
      <c r="G33" s="515" t="str">
        <f>RevenueStreams!$E$24</f>
        <v>Per  Pallet</v>
      </c>
      <c r="H33" s="512">
        <f>F33*RevenueStreams!$D$24</f>
        <v>35</v>
      </c>
      <c r="I33" s="514">
        <v>1</v>
      </c>
      <c r="J33" s="515" t="str">
        <f>RevenueStreams!$E$24</f>
        <v>Per  Pallet</v>
      </c>
      <c r="K33" s="512">
        <f>I33*RevenueStreams!$D$24</f>
        <v>35</v>
      </c>
      <c r="L33" s="514">
        <v>1</v>
      </c>
      <c r="M33" s="515" t="str">
        <f>RevenueStreams!$E$24</f>
        <v>Per  Pallet</v>
      </c>
      <c r="N33" s="512">
        <f>L33*RevenueStreams!$D$24</f>
        <v>35</v>
      </c>
      <c r="O33" s="514">
        <v>1</v>
      </c>
      <c r="P33" s="515" t="str">
        <f>RevenueStreams!$E$24</f>
        <v>Per  Pallet</v>
      </c>
      <c r="Q33" s="512">
        <f>O33*RevenueStreams!$D$24</f>
        <v>35</v>
      </c>
      <c r="R33" s="514">
        <v>1</v>
      </c>
      <c r="S33" s="515" t="str">
        <f>RevenueStreams!$E$24</f>
        <v>Per  Pallet</v>
      </c>
      <c r="T33" s="512">
        <f>R33*RevenueStreams!$D$24</f>
        <v>35</v>
      </c>
      <c r="U33" s="514">
        <v>1</v>
      </c>
      <c r="V33" s="515" t="str">
        <f>RevenueStreams!$E$24</f>
        <v>Per  Pallet</v>
      </c>
      <c r="W33" s="512">
        <f>U33*RevenueStreams!$D$24</f>
        <v>35</v>
      </c>
      <c r="X33" s="514">
        <v>1</v>
      </c>
      <c r="Y33" s="515" t="str">
        <f>RevenueStreams!$E$24</f>
        <v>Per  Pallet</v>
      </c>
      <c r="Z33" s="512">
        <f>X33*RevenueStreams!$D$24</f>
        <v>35</v>
      </c>
      <c r="AA33" s="514">
        <v>1</v>
      </c>
      <c r="AB33" s="515" t="str">
        <f>RevenueStreams!$E$24</f>
        <v>Per  Pallet</v>
      </c>
      <c r="AC33" s="512">
        <f>AA33*RevenueStreams!$D$24</f>
        <v>35</v>
      </c>
      <c r="AD33" s="514">
        <v>1</v>
      </c>
      <c r="AE33" s="515" t="str">
        <f>RevenueStreams!$E$24</f>
        <v>Per  Pallet</v>
      </c>
      <c r="AF33" s="512">
        <f>AD33*RevenueStreams!$D$24</f>
        <v>35</v>
      </c>
      <c r="AG33" s="514">
        <v>1</v>
      </c>
      <c r="AH33" s="515" t="str">
        <f>RevenueStreams!$E$24</f>
        <v>Per  Pallet</v>
      </c>
      <c r="AI33" s="512">
        <f>AG33*RevenueStreams!$D$24</f>
        <v>35</v>
      </c>
      <c r="AJ33" s="514">
        <v>1</v>
      </c>
      <c r="AK33" s="515" t="str">
        <f>RevenueStreams!$E$24</f>
        <v>Per  Pallet</v>
      </c>
      <c r="AL33" s="512">
        <f>AJ33*RevenueStreams!$D$24</f>
        <v>35</v>
      </c>
    </row>
    <row r="34" spans="1:38" x14ac:dyDescent="0.35">
      <c r="A34" s="471">
        <f t="shared" si="1"/>
        <v>540</v>
      </c>
      <c r="B34" s="513" t="s">
        <v>491</v>
      </c>
      <c r="C34" s="514">
        <v>1</v>
      </c>
      <c r="D34" s="515" t="str">
        <f>RevenueStreams!$E$25</f>
        <v>Per  Pallet</v>
      </c>
      <c r="E34" s="512">
        <f>C34*RevenueStreams!$D$25</f>
        <v>45</v>
      </c>
      <c r="F34" s="514">
        <v>1</v>
      </c>
      <c r="G34" s="515" t="str">
        <f>RevenueStreams!$E$25</f>
        <v>Per  Pallet</v>
      </c>
      <c r="H34" s="512">
        <f>F34*RevenueStreams!$D$25</f>
        <v>45</v>
      </c>
      <c r="I34" s="514">
        <v>1</v>
      </c>
      <c r="J34" s="515" t="str">
        <f>RevenueStreams!$E$25</f>
        <v>Per  Pallet</v>
      </c>
      <c r="K34" s="512">
        <f>I34*RevenueStreams!$D$25</f>
        <v>45</v>
      </c>
      <c r="L34" s="514">
        <v>1</v>
      </c>
      <c r="M34" s="515" t="str">
        <f>RevenueStreams!$E$25</f>
        <v>Per  Pallet</v>
      </c>
      <c r="N34" s="512">
        <f>L34*RevenueStreams!$D$25</f>
        <v>45</v>
      </c>
      <c r="O34" s="514">
        <v>1</v>
      </c>
      <c r="P34" s="515" t="str">
        <f>RevenueStreams!$E$25</f>
        <v>Per  Pallet</v>
      </c>
      <c r="Q34" s="512">
        <f>O34*RevenueStreams!$D$25</f>
        <v>45</v>
      </c>
      <c r="R34" s="514">
        <v>1</v>
      </c>
      <c r="S34" s="515" t="str">
        <f>RevenueStreams!$E$25</f>
        <v>Per  Pallet</v>
      </c>
      <c r="T34" s="512">
        <f>R34*RevenueStreams!$D$25</f>
        <v>45</v>
      </c>
      <c r="U34" s="514">
        <v>1</v>
      </c>
      <c r="V34" s="515" t="str">
        <f>RevenueStreams!$E$25</f>
        <v>Per  Pallet</v>
      </c>
      <c r="W34" s="512">
        <f>U34*RevenueStreams!$D$25</f>
        <v>45</v>
      </c>
      <c r="X34" s="514">
        <v>1</v>
      </c>
      <c r="Y34" s="515" t="str">
        <f>RevenueStreams!$E$25</f>
        <v>Per  Pallet</v>
      </c>
      <c r="Z34" s="512">
        <f>X34*RevenueStreams!$D$25</f>
        <v>45</v>
      </c>
      <c r="AA34" s="514">
        <v>1</v>
      </c>
      <c r="AB34" s="515" t="str">
        <f>RevenueStreams!$E$25</f>
        <v>Per  Pallet</v>
      </c>
      <c r="AC34" s="512">
        <f>AA34*RevenueStreams!$D$25</f>
        <v>45</v>
      </c>
      <c r="AD34" s="514">
        <v>1</v>
      </c>
      <c r="AE34" s="515" t="str">
        <f>RevenueStreams!$E$25</f>
        <v>Per  Pallet</v>
      </c>
      <c r="AF34" s="512">
        <f>AD34*RevenueStreams!$D$25</f>
        <v>45</v>
      </c>
      <c r="AG34" s="514">
        <v>1</v>
      </c>
      <c r="AH34" s="515" t="str">
        <f>RevenueStreams!$E$25</f>
        <v>Per  Pallet</v>
      </c>
      <c r="AI34" s="512">
        <f>AG34*RevenueStreams!$D$25</f>
        <v>45</v>
      </c>
      <c r="AJ34" s="514">
        <v>1</v>
      </c>
      <c r="AK34" s="515" t="str">
        <f>RevenueStreams!$E$25</f>
        <v>Per  Pallet</v>
      </c>
      <c r="AL34" s="512">
        <f>AJ34*RevenueStreams!$D$25</f>
        <v>45</v>
      </c>
    </row>
    <row r="35" spans="1:38" x14ac:dyDescent="0.35">
      <c r="A35" s="471">
        <f t="shared" si="1"/>
        <v>2880</v>
      </c>
      <c r="B35" s="513" t="s">
        <v>519</v>
      </c>
      <c r="C35" s="514">
        <v>24</v>
      </c>
      <c r="D35" s="515" t="str">
        <f>RevenueStreams!$E$26</f>
        <v>Per Hr</v>
      </c>
      <c r="E35" s="512">
        <f>C35*RevenueStreams!$D$26</f>
        <v>240</v>
      </c>
      <c r="F35" s="514">
        <v>24</v>
      </c>
      <c r="G35" s="515" t="str">
        <f>RevenueStreams!$E$26</f>
        <v>Per Hr</v>
      </c>
      <c r="H35" s="512">
        <f>F35*RevenueStreams!$D$26</f>
        <v>240</v>
      </c>
      <c r="I35" s="514">
        <v>24</v>
      </c>
      <c r="J35" s="515" t="str">
        <f>RevenueStreams!$E$26</f>
        <v>Per Hr</v>
      </c>
      <c r="K35" s="512">
        <f>I35*RevenueStreams!$D$26</f>
        <v>240</v>
      </c>
      <c r="L35" s="514">
        <v>24</v>
      </c>
      <c r="M35" s="515" t="str">
        <f>RevenueStreams!$E$26</f>
        <v>Per Hr</v>
      </c>
      <c r="N35" s="512">
        <f>L35*RevenueStreams!$D$26</f>
        <v>240</v>
      </c>
      <c r="O35" s="514">
        <v>24</v>
      </c>
      <c r="P35" s="515" t="str">
        <f>RevenueStreams!$E$26</f>
        <v>Per Hr</v>
      </c>
      <c r="Q35" s="512">
        <f>O35*RevenueStreams!$D$26</f>
        <v>240</v>
      </c>
      <c r="R35" s="514">
        <v>24</v>
      </c>
      <c r="S35" s="515" t="str">
        <f>RevenueStreams!$E$26</f>
        <v>Per Hr</v>
      </c>
      <c r="T35" s="512">
        <f>R35*RevenueStreams!$D$26</f>
        <v>240</v>
      </c>
      <c r="U35" s="514">
        <v>24</v>
      </c>
      <c r="V35" s="515" t="str">
        <f>RevenueStreams!$E$26</f>
        <v>Per Hr</v>
      </c>
      <c r="W35" s="512">
        <f>U35*RevenueStreams!$D$26</f>
        <v>240</v>
      </c>
      <c r="X35" s="514">
        <v>24</v>
      </c>
      <c r="Y35" s="515" t="str">
        <f>RevenueStreams!$E$26</f>
        <v>Per Hr</v>
      </c>
      <c r="Z35" s="512">
        <f>X35*RevenueStreams!$D$26</f>
        <v>240</v>
      </c>
      <c r="AA35" s="514">
        <v>24</v>
      </c>
      <c r="AB35" s="515" t="str">
        <f>RevenueStreams!$E$26</f>
        <v>Per Hr</v>
      </c>
      <c r="AC35" s="512">
        <f>AA35*RevenueStreams!$D$26</f>
        <v>240</v>
      </c>
      <c r="AD35" s="514">
        <v>24</v>
      </c>
      <c r="AE35" s="515" t="str">
        <f>RevenueStreams!$E$26</f>
        <v>Per Hr</v>
      </c>
      <c r="AF35" s="512">
        <f>AD35*RevenueStreams!$D$26</f>
        <v>240</v>
      </c>
      <c r="AG35" s="514">
        <v>24</v>
      </c>
      <c r="AH35" s="515" t="str">
        <f>RevenueStreams!$E$26</f>
        <v>Per Hr</v>
      </c>
      <c r="AI35" s="512">
        <f>AG35*RevenueStreams!$D$26</f>
        <v>240</v>
      </c>
      <c r="AJ35" s="514">
        <v>24</v>
      </c>
      <c r="AK35" s="515" t="str">
        <f>RevenueStreams!$E$26</f>
        <v>Per Hr</v>
      </c>
      <c r="AL35" s="512">
        <f>AJ35*RevenueStreams!$D$26</f>
        <v>240</v>
      </c>
    </row>
    <row r="36" spans="1:38" x14ac:dyDescent="0.35">
      <c r="A36" s="471">
        <f t="shared" si="1"/>
        <v>2880</v>
      </c>
      <c r="B36" s="513" t="s">
        <v>492</v>
      </c>
      <c r="C36" s="514">
        <v>24</v>
      </c>
      <c r="D36" s="515" t="str">
        <f>RevenueStreams!$E$27</f>
        <v>Per Hr</v>
      </c>
      <c r="E36" s="512">
        <f>C36*RevenueStreams!$D$27</f>
        <v>240</v>
      </c>
      <c r="F36" s="514">
        <v>24</v>
      </c>
      <c r="G36" s="515" t="str">
        <f>RevenueStreams!$E$27</f>
        <v>Per Hr</v>
      </c>
      <c r="H36" s="512">
        <f>F36*RevenueStreams!$D$27</f>
        <v>240</v>
      </c>
      <c r="I36" s="514">
        <v>24</v>
      </c>
      <c r="J36" s="515" t="str">
        <f>RevenueStreams!$E$27</f>
        <v>Per Hr</v>
      </c>
      <c r="K36" s="512">
        <f>I36*RevenueStreams!$D$27</f>
        <v>240</v>
      </c>
      <c r="L36" s="514">
        <v>24</v>
      </c>
      <c r="M36" s="515" t="str">
        <f>RevenueStreams!$E$27</f>
        <v>Per Hr</v>
      </c>
      <c r="N36" s="512">
        <f>L36*RevenueStreams!$D$27</f>
        <v>240</v>
      </c>
      <c r="O36" s="514">
        <v>24</v>
      </c>
      <c r="P36" s="515" t="str">
        <f>RevenueStreams!$E$27</f>
        <v>Per Hr</v>
      </c>
      <c r="Q36" s="512">
        <f>O36*RevenueStreams!$D$27</f>
        <v>240</v>
      </c>
      <c r="R36" s="514">
        <v>24</v>
      </c>
      <c r="S36" s="515" t="str">
        <f>RevenueStreams!$E$27</f>
        <v>Per Hr</v>
      </c>
      <c r="T36" s="512">
        <f>R36*RevenueStreams!$D$27</f>
        <v>240</v>
      </c>
      <c r="U36" s="514">
        <v>24</v>
      </c>
      <c r="V36" s="515" t="str">
        <f>RevenueStreams!$E$27</f>
        <v>Per Hr</v>
      </c>
      <c r="W36" s="512">
        <f>U36*RevenueStreams!$D$27</f>
        <v>240</v>
      </c>
      <c r="X36" s="514">
        <v>24</v>
      </c>
      <c r="Y36" s="515" t="str">
        <f>RevenueStreams!$E$27</f>
        <v>Per Hr</v>
      </c>
      <c r="Z36" s="512">
        <f>X36*RevenueStreams!$D$27</f>
        <v>240</v>
      </c>
      <c r="AA36" s="514">
        <v>24</v>
      </c>
      <c r="AB36" s="515" t="str">
        <f>RevenueStreams!$E$27</f>
        <v>Per Hr</v>
      </c>
      <c r="AC36" s="512">
        <f>AA36*RevenueStreams!$D$27</f>
        <v>240</v>
      </c>
      <c r="AD36" s="514">
        <v>24</v>
      </c>
      <c r="AE36" s="515" t="str">
        <f>RevenueStreams!$E$27</f>
        <v>Per Hr</v>
      </c>
      <c r="AF36" s="512">
        <f>AD36*RevenueStreams!$D$27</f>
        <v>240</v>
      </c>
      <c r="AG36" s="514">
        <v>24</v>
      </c>
      <c r="AH36" s="515" t="str">
        <f>RevenueStreams!$E$27</f>
        <v>Per Hr</v>
      </c>
      <c r="AI36" s="512">
        <f>AG36*RevenueStreams!$D$27</f>
        <v>240</v>
      </c>
      <c r="AJ36" s="514">
        <v>24</v>
      </c>
      <c r="AK36" s="515" t="str">
        <f>RevenueStreams!$E$27</f>
        <v>Per Hr</v>
      </c>
      <c r="AL36" s="512">
        <f>AJ36*RevenueStreams!$D$27</f>
        <v>240</v>
      </c>
    </row>
    <row r="37" spans="1:38" x14ac:dyDescent="0.35">
      <c r="A37" s="471">
        <f t="shared" si="1"/>
        <v>0</v>
      </c>
      <c r="B37" s="513" t="s">
        <v>502</v>
      </c>
      <c r="C37" s="514">
        <v>0</v>
      </c>
      <c r="D37" s="515" t="str">
        <f>RevenueStreams!$E$29</f>
        <v>Per Hr</v>
      </c>
      <c r="E37" s="512">
        <f>C37*RevenueStreams!$D$29</f>
        <v>0</v>
      </c>
      <c r="F37" s="514">
        <v>0</v>
      </c>
      <c r="G37" s="515" t="str">
        <f>RevenueStreams!$E$29</f>
        <v>Per Hr</v>
      </c>
      <c r="H37" s="512">
        <f>F37*RevenueStreams!$D$29</f>
        <v>0</v>
      </c>
      <c r="I37" s="514">
        <v>0</v>
      </c>
      <c r="J37" s="515" t="str">
        <f>RevenueStreams!$E$29</f>
        <v>Per Hr</v>
      </c>
      <c r="K37" s="512">
        <f>I37*RevenueStreams!$D$29</f>
        <v>0</v>
      </c>
      <c r="L37" s="514">
        <v>0</v>
      </c>
      <c r="M37" s="515" t="str">
        <f>RevenueStreams!$E$29</f>
        <v>Per Hr</v>
      </c>
      <c r="N37" s="512">
        <f>L37*RevenueStreams!$D$29</f>
        <v>0</v>
      </c>
      <c r="O37" s="514">
        <v>0</v>
      </c>
      <c r="P37" s="515" t="str">
        <f>RevenueStreams!$E$29</f>
        <v>Per Hr</v>
      </c>
      <c r="Q37" s="512">
        <f>O37*RevenueStreams!$D$29</f>
        <v>0</v>
      </c>
      <c r="R37" s="514">
        <v>0</v>
      </c>
      <c r="S37" s="515" t="str">
        <f>RevenueStreams!$E$29</f>
        <v>Per Hr</v>
      </c>
      <c r="T37" s="512">
        <f>R37*RevenueStreams!$D$29</f>
        <v>0</v>
      </c>
      <c r="U37" s="514">
        <v>0</v>
      </c>
      <c r="V37" s="515" t="str">
        <f>RevenueStreams!$E$29</f>
        <v>Per Hr</v>
      </c>
      <c r="W37" s="512">
        <f>U37*RevenueStreams!$D$29</f>
        <v>0</v>
      </c>
      <c r="X37" s="514">
        <v>0</v>
      </c>
      <c r="Y37" s="515" t="str">
        <f>RevenueStreams!$E$29</f>
        <v>Per Hr</v>
      </c>
      <c r="Z37" s="512">
        <f>X37*RevenueStreams!$D$29</f>
        <v>0</v>
      </c>
      <c r="AA37" s="514">
        <v>0</v>
      </c>
      <c r="AB37" s="515" t="str">
        <f>RevenueStreams!$E$29</f>
        <v>Per Hr</v>
      </c>
      <c r="AC37" s="512">
        <f>AA37*RevenueStreams!$D$29</f>
        <v>0</v>
      </c>
      <c r="AD37" s="514">
        <v>0</v>
      </c>
      <c r="AE37" s="515" t="str">
        <f>RevenueStreams!$E$29</f>
        <v>Per Hr</v>
      </c>
      <c r="AF37" s="512">
        <f>AD37*RevenueStreams!$D$29</f>
        <v>0</v>
      </c>
      <c r="AG37" s="514">
        <v>0</v>
      </c>
      <c r="AH37" s="515" t="str">
        <f>RevenueStreams!$E$29</f>
        <v>Per Hr</v>
      </c>
      <c r="AI37" s="512">
        <f>AG37*RevenueStreams!$D$29</f>
        <v>0</v>
      </c>
      <c r="AJ37" s="514">
        <v>0</v>
      </c>
      <c r="AK37" s="515" t="str">
        <f>RevenueStreams!$E$29</f>
        <v>Per Hr</v>
      </c>
      <c r="AL37" s="512">
        <f>AJ37*RevenueStreams!$D$29</f>
        <v>0</v>
      </c>
    </row>
    <row r="38" spans="1:38" x14ac:dyDescent="0.35">
      <c r="A38" s="471">
        <f t="shared" si="1"/>
        <v>0</v>
      </c>
      <c r="B38" s="513" t="s">
        <v>503</v>
      </c>
      <c r="C38" s="514">
        <v>0</v>
      </c>
      <c r="D38" s="515" t="str">
        <f>RevenueStreams!$E$30</f>
        <v>Per Hr</v>
      </c>
      <c r="E38" s="512">
        <f>C38*RevenueStreams!$D$30</f>
        <v>0</v>
      </c>
      <c r="F38" s="514">
        <v>0</v>
      </c>
      <c r="G38" s="515" t="str">
        <f>RevenueStreams!$E$30</f>
        <v>Per Hr</v>
      </c>
      <c r="H38" s="512">
        <f>F38*RevenueStreams!$D$30</f>
        <v>0</v>
      </c>
      <c r="I38" s="514">
        <v>0</v>
      </c>
      <c r="J38" s="515" t="str">
        <f>RevenueStreams!$E$30</f>
        <v>Per Hr</v>
      </c>
      <c r="K38" s="512">
        <f>I38*RevenueStreams!$D$30</f>
        <v>0</v>
      </c>
      <c r="L38" s="514">
        <v>0</v>
      </c>
      <c r="M38" s="515" t="str">
        <f>RevenueStreams!$E$30</f>
        <v>Per Hr</v>
      </c>
      <c r="N38" s="512">
        <f>L38*RevenueStreams!$D$30</f>
        <v>0</v>
      </c>
      <c r="O38" s="514">
        <v>0</v>
      </c>
      <c r="P38" s="515" t="str">
        <f>RevenueStreams!$E$30</f>
        <v>Per Hr</v>
      </c>
      <c r="Q38" s="512">
        <f>O38*RevenueStreams!$D$30</f>
        <v>0</v>
      </c>
      <c r="R38" s="514">
        <v>0</v>
      </c>
      <c r="S38" s="515" t="str">
        <f>RevenueStreams!$E$30</f>
        <v>Per Hr</v>
      </c>
      <c r="T38" s="512">
        <f>R38*RevenueStreams!$D$30</f>
        <v>0</v>
      </c>
      <c r="U38" s="514">
        <v>0</v>
      </c>
      <c r="V38" s="515" t="str">
        <f>RevenueStreams!$E$30</f>
        <v>Per Hr</v>
      </c>
      <c r="W38" s="512">
        <f>U38*RevenueStreams!$D$30</f>
        <v>0</v>
      </c>
      <c r="X38" s="514">
        <v>0</v>
      </c>
      <c r="Y38" s="515" t="str">
        <f>RevenueStreams!$E$30</f>
        <v>Per Hr</v>
      </c>
      <c r="Z38" s="512">
        <f>X38*RevenueStreams!$D$30</f>
        <v>0</v>
      </c>
      <c r="AA38" s="514">
        <v>0</v>
      </c>
      <c r="AB38" s="515" t="str">
        <f>RevenueStreams!$E$30</f>
        <v>Per Hr</v>
      </c>
      <c r="AC38" s="512">
        <f>AA38*RevenueStreams!$D$30</f>
        <v>0</v>
      </c>
      <c r="AD38" s="514">
        <v>0</v>
      </c>
      <c r="AE38" s="515" t="str">
        <f>RevenueStreams!$E$30</f>
        <v>Per Hr</v>
      </c>
      <c r="AF38" s="512">
        <f>AD38*RevenueStreams!$D$30</f>
        <v>0</v>
      </c>
      <c r="AG38" s="514">
        <v>0</v>
      </c>
      <c r="AH38" s="515" t="str">
        <f>RevenueStreams!$E$30</f>
        <v>Per Hr</v>
      </c>
      <c r="AI38" s="512">
        <f>AG38*RevenueStreams!$D$30</f>
        <v>0</v>
      </c>
      <c r="AJ38" s="514">
        <v>0</v>
      </c>
      <c r="AK38" s="515" t="str">
        <f>RevenueStreams!$E$30</f>
        <v>Per Hr</v>
      </c>
      <c r="AL38" s="512">
        <f>AJ38*RevenueStreams!$D$30</f>
        <v>0</v>
      </c>
    </row>
    <row r="39" spans="1:38" x14ac:dyDescent="0.35">
      <c r="A39" s="471">
        <f t="shared" si="1"/>
        <v>0</v>
      </c>
      <c r="B39" s="513" t="s">
        <v>507</v>
      </c>
      <c r="C39" s="514">
        <v>0</v>
      </c>
      <c r="D39" s="515" t="str">
        <f>RevenueStreams!$E$31</f>
        <v>Per Hr</v>
      </c>
      <c r="E39" s="512">
        <f>C39*RevenueStreams!$D$31</f>
        <v>0</v>
      </c>
      <c r="F39" s="514">
        <v>0</v>
      </c>
      <c r="G39" s="515" t="str">
        <f>RevenueStreams!$E$31</f>
        <v>Per Hr</v>
      </c>
      <c r="H39" s="512">
        <f>F39*RevenueStreams!$D$31</f>
        <v>0</v>
      </c>
      <c r="I39" s="514">
        <v>0</v>
      </c>
      <c r="J39" s="515" t="str">
        <f>RevenueStreams!$E$31</f>
        <v>Per Hr</v>
      </c>
      <c r="K39" s="512">
        <f>I39*RevenueStreams!$D$31</f>
        <v>0</v>
      </c>
      <c r="L39" s="514">
        <v>0</v>
      </c>
      <c r="M39" s="515" t="str">
        <f>RevenueStreams!$E$31</f>
        <v>Per Hr</v>
      </c>
      <c r="N39" s="512">
        <f>L39*RevenueStreams!$D$31</f>
        <v>0</v>
      </c>
      <c r="O39" s="514">
        <v>0</v>
      </c>
      <c r="P39" s="515" t="str">
        <f>RevenueStreams!$E$31</f>
        <v>Per Hr</v>
      </c>
      <c r="Q39" s="512">
        <f>O39*RevenueStreams!$D$31</f>
        <v>0</v>
      </c>
      <c r="R39" s="514">
        <v>0</v>
      </c>
      <c r="S39" s="515" t="str">
        <f>RevenueStreams!$E$31</f>
        <v>Per Hr</v>
      </c>
      <c r="T39" s="512">
        <f>R39*RevenueStreams!$D$31</f>
        <v>0</v>
      </c>
      <c r="U39" s="514">
        <v>0</v>
      </c>
      <c r="V39" s="515" t="str">
        <f>RevenueStreams!$E$31</f>
        <v>Per Hr</v>
      </c>
      <c r="W39" s="512">
        <f>U39*RevenueStreams!$D$31</f>
        <v>0</v>
      </c>
      <c r="X39" s="514">
        <v>0</v>
      </c>
      <c r="Y39" s="515" t="str">
        <f>RevenueStreams!$E$31</f>
        <v>Per Hr</v>
      </c>
      <c r="Z39" s="512">
        <f>X39*RevenueStreams!$D$31</f>
        <v>0</v>
      </c>
      <c r="AA39" s="514">
        <v>0</v>
      </c>
      <c r="AB39" s="515" t="str">
        <f>RevenueStreams!$E$31</f>
        <v>Per Hr</v>
      </c>
      <c r="AC39" s="512">
        <f>AA39*RevenueStreams!$D$31</f>
        <v>0</v>
      </c>
      <c r="AD39" s="514">
        <v>0</v>
      </c>
      <c r="AE39" s="515" t="str">
        <f>RevenueStreams!$E$31</f>
        <v>Per Hr</v>
      </c>
      <c r="AF39" s="512">
        <f>AD39*RevenueStreams!$D$31</f>
        <v>0</v>
      </c>
      <c r="AG39" s="514">
        <v>0</v>
      </c>
      <c r="AH39" s="515" t="str">
        <f>RevenueStreams!$E$31</f>
        <v>Per Hr</v>
      </c>
      <c r="AI39" s="512">
        <f>AG39*RevenueStreams!$D$31</f>
        <v>0</v>
      </c>
      <c r="AJ39" s="514">
        <v>0</v>
      </c>
      <c r="AK39" s="515" t="str">
        <f>RevenueStreams!$E$31</f>
        <v>Per Hr</v>
      </c>
      <c r="AL39" s="512">
        <f>AJ39*RevenueStreams!$D$31</f>
        <v>0</v>
      </c>
    </row>
    <row r="40" spans="1:38" x14ac:dyDescent="0.35">
      <c r="A40" s="471">
        <f t="shared" si="1"/>
        <v>0</v>
      </c>
      <c r="B40" s="513" t="s">
        <v>506</v>
      </c>
      <c r="C40" s="514">
        <v>0</v>
      </c>
      <c r="D40" s="515" t="str">
        <f>RevenueStreams!$E$32</f>
        <v>Per Hr</v>
      </c>
      <c r="E40" s="512">
        <f>C40*RevenueStreams!$D$32</f>
        <v>0</v>
      </c>
      <c r="F40" s="514">
        <v>0</v>
      </c>
      <c r="G40" s="515" t="str">
        <f>RevenueStreams!$E$32</f>
        <v>Per Hr</v>
      </c>
      <c r="H40" s="512">
        <f>F40*RevenueStreams!$D$32</f>
        <v>0</v>
      </c>
      <c r="I40" s="514">
        <v>0</v>
      </c>
      <c r="J40" s="515" t="str">
        <f>RevenueStreams!$E$32</f>
        <v>Per Hr</v>
      </c>
      <c r="K40" s="512">
        <f>I40*RevenueStreams!$D$32</f>
        <v>0</v>
      </c>
      <c r="L40" s="514">
        <v>0</v>
      </c>
      <c r="M40" s="515" t="str">
        <f>RevenueStreams!$E$32</f>
        <v>Per Hr</v>
      </c>
      <c r="N40" s="512">
        <f>L40*RevenueStreams!$D$32</f>
        <v>0</v>
      </c>
      <c r="O40" s="514">
        <v>0</v>
      </c>
      <c r="P40" s="515" t="str">
        <f>RevenueStreams!$E$32</f>
        <v>Per Hr</v>
      </c>
      <c r="Q40" s="512">
        <f>O40*RevenueStreams!$D$32</f>
        <v>0</v>
      </c>
      <c r="R40" s="514">
        <v>0</v>
      </c>
      <c r="S40" s="515" t="str">
        <f>RevenueStreams!$E$32</f>
        <v>Per Hr</v>
      </c>
      <c r="T40" s="512">
        <f>R40*RevenueStreams!$D$32</f>
        <v>0</v>
      </c>
      <c r="U40" s="514">
        <v>0</v>
      </c>
      <c r="V40" s="515" t="str">
        <f>RevenueStreams!$E$32</f>
        <v>Per Hr</v>
      </c>
      <c r="W40" s="512">
        <f>U40*RevenueStreams!$D$32</f>
        <v>0</v>
      </c>
      <c r="X40" s="514">
        <v>0</v>
      </c>
      <c r="Y40" s="515" t="str">
        <f>RevenueStreams!$E$32</f>
        <v>Per Hr</v>
      </c>
      <c r="Z40" s="512">
        <f>X40*RevenueStreams!$D$32</f>
        <v>0</v>
      </c>
      <c r="AA40" s="514">
        <v>0</v>
      </c>
      <c r="AB40" s="515" t="str">
        <f>RevenueStreams!$E$32</f>
        <v>Per Hr</v>
      </c>
      <c r="AC40" s="512">
        <f>AA40*RevenueStreams!$D$32</f>
        <v>0</v>
      </c>
      <c r="AD40" s="514">
        <v>0</v>
      </c>
      <c r="AE40" s="515" t="str">
        <f>RevenueStreams!$E$32</f>
        <v>Per Hr</v>
      </c>
      <c r="AF40" s="512">
        <f>AD40*RevenueStreams!$D$32</f>
        <v>0</v>
      </c>
      <c r="AG40" s="514">
        <v>0</v>
      </c>
      <c r="AH40" s="515" t="str">
        <f>RevenueStreams!$E$32</f>
        <v>Per Hr</v>
      </c>
      <c r="AI40" s="512">
        <f>AG40*RevenueStreams!$D$32</f>
        <v>0</v>
      </c>
      <c r="AJ40" s="514">
        <v>0</v>
      </c>
      <c r="AK40" s="515" t="str">
        <f>RevenueStreams!$E$32</f>
        <v>Per Hr</v>
      </c>
      <c r="AL40" s="512">
        <f>AJ40*RevenueStreams!$D$32</f>
        <v>0</v>
      </c>
    </row>
    <row r="41" spans="1:38" x14ac:dyDescent="0.35">
      <c r="A41" s="471">
        <f t="shared" si="1"/>
        <v>2974.9759999999992</v>
      </c>
      <c r="B41" s="513" t="s">
        <v>508</v>
      </c>
      <c r="C41" s="514">
        <f>8*1*2</f>
        <v>16</v>
      </c>
      <c r="D41" s="515" t="str">
        <f>RevenueStreams!$E$33</f>
        <v>Per Hr</v>
      </c>
      <c r="E41" s="512">
        <f>C41*RevenueStreams!$D$33</f>
        <v>247.91466666666668</v>
      </c>
      <c r="F41" s="514">
        <f>8*1*2</f>
        <v>16</v>
      </c>
      <c r="G41" s="515" t="str">
        <f>RevenueStreams!$E$33</f>
        <v>Per Hr</v>
      </c>
      <c r="H41" s="512">
        <f>F41*RevenueStreams!$D$33</f>
        <v>247.91466666666668</v>
      </c>
      <c r="I41" s="514">
        <f>8*1*2</f>
        <v>16</v>
      </c>
      <c r="J41" s="515" t="str">
        <f>RevenueStreams!$E$33</f>
        <v>Per Hr</v>
      </c>
      <c r="K41" s="512">
        <f>I41*RevenueStreams!$D$33</f>
        <v>247.91466666666668</v>
      </c>
      <c r="L41" s="514">
        <f>8*1*2</f>
        <v>16</v>
      </c>
      <c r="M41" s="515" t="str">
        <f>RevenueStreams!$E$33</f>
        <v>Per Hr</v>
      </c>
      <c r="N41" s="512">
        <f>L41*RevenueStreams!$D$33</f>
        <v>247.91466666666668</v>
      </c>
      <c r="O41" s="514">
        <f>8*1*2</f>
        <v>16</v>
      </c>
      <c r="P41" s="515" t="str">
        <f>RevenueStreams!$E$33</f>
        <v>Per Hr</v>
      </c>
      <c r="Q41" s="512">
        <f>O41*RevenueStreams!$D$33</f>
        <v>247.91466666666668</v>
      </c>
      <c r="R41" s="514">
        <f>8*1*2</f>
        <v>16</v>
      </c>
      <c r="S41" s="515" t="str">
        <f>RevenueStreams!$E$33</f>
        <v>Per Hr</v>
      </c>
      <c r="T41" s="512">
        <f>R41*RevenueStreams!$D$33</f>
        <v>247.91466666666668</v>
      </c>
      <c r="U41" s="514">
        <f>8*1*2</f>
        <v>16</v>
      </c>
      <c r="V41" s="515" t="str">
        <f>RevenueStreams!$E$33</f>
        <v>Per Hr</v>
      </c>
      <c r="W41" s="512">
        <f>U41*RevenueStreams!$D$33</f>
        <v>247.91466666666668</v>
      </c>
      <c r="X41" s="514">
        <f>8*1*2</f>
        <v>16</v>
      </c>
      <c r="Y41" s="515" t="str">
        <f>RevenueStreams!$E$33</f>
        <v>Per Hr</v>
      </c>
      <c r="Z41" s="512">
        <f>X41*RevenueStreams!$D$33</f>
        <v>247.91466666666668</v>
      </c>
      <c r="AA41" s="514">
        <f>8*1*2</f>
        <v>16</v>
      </c>
      <c r="AB41" s="515" t="str">
        <f>RevenueStreams!$E$33</f>
        <v>Per Hr</v>
      </c>
      <c r="AC41" s="512">
        <f>AA41*RevenueStreams!$D$33</f>
        <v>247.91466666666668</v>
      </c>
      <c r="AD41" s="514">
        <f>8*1*2</f>
        <v>16</v>
      </c>
      <c r="AE41" s="515" t="str">
        <f>RevenueStreams!$E$33</f>
        <v>Per Hr</v>
      </c>
      <c r="AF41" s="512">
        <f>AD41*RevenueStreams!$D$33</f>
        <v>247.91466666666668</v>
      </c>
      <c r="AG41" s="514">
        <f>8*1*2</f>
        <v>16</v>
      </c>
      <c r="AH41" s="515" t="str">
        <f>RevenueStreams!$E$33</f>
        <v>Per Hr</v>
      </c>
      <c r="AI41" s="512">
        <f>AG41*RevenueStreams!$D$33</f>
        <v>247.91466666666668</v>
      </c>
      <c r="AJ41" s="514">
        <f>8*1*2</f>
        <v>16</v>
      </c>
      <c r="AK41" s="515" t="str">
        <f>RevenueStreams!$E$33</f>
        <v>Per Hr</v>
      </c>
      <c r="AL41" s="512">
        <f>AJ41*RevenueStreams!$D$33</f>
        <v>247.91466666666668</v>
      </c>
    </row>
    <row r="42" spans="1:38" x14ac:dyDescent="0.35">
      <c r="A42" s="471">
        <f t="shared" ref="A42:A47" si="2">SUM(E42,H42,K42,N42,Q42,T42,W42,Z42,AC42,AF42,AI42,AL42)</f>
        <v>4800</v>
      </c>
      <c r="B42" s="513" t="s">
        <v>520</v>
      </c>
      <c r="C42" s="514">
        <f>1*8*1</f>
        <v>8</v>
      </c>
      <c r="D42" s="515" t="str">
        <f>RevenueStreams!$E$34</f>
        <v>Per Hr</v>
      </c>
      <c r="E42" s="512">
        <f>C42*RevenueStreams!$D$34</f>
        <v>400</v>
      </c>
      <c r="F42" s="514">
        <f>1*8*1</f>
        <v>8</v>
      </c>
      <c r="G42" s="515" t="str">
        <f>RevenueStreams!$E$34</f>
        <v>Per Hr</v>
      </c>
      <c r="H42" s="512">
        <f>F42*RevenueStreams!$D$34</f>
        <v>400</v>
      </c>
      <c r="I42" s="514">
        <f>1*8*1</f>
        <v>8</v>
      </c>
      <c r="J42" s="515" t="str">
        <f>RevenueStreams!$E$34</f>
        <v>Per Hr</v>
      </c>
      <c r="K42" s="512">
        <f>I42*RevenueStreams!$D$34</f>
        <v>400</v>
      </c>
      <c r="L42" s="514">
        <f>1*8*1</f>
        <v>8</v>
      </c>
      <c r="M42" s="515" t="str">
        <f>RevenueStreams!$E$34</f>
        <v>Per Hr</v>
      </c>
      <c r="N42" s="512">
        <f>L42*RevenueStreams!$D$34</f>
        <v>400</v>
      </c>
      <c r="O42" s="514">
        <f>1*8*1</f>
        <v>8</v>
      </c>
      <c r="P42" s="515" t="str">
        <f>RevenueStreams!$E$34</f>
        <v>Per Hr</v>
      </c>
      <c r="Q42" s="512">
        <f>O42*RevenueStreams!$D$34</f>
        <v>400</v>
      </c>
      <c r="R42" s="514">
        <f>1*8*1</f>
        <v>8</v>
      </c>
      <c r="S42" s="515" t="str">
        <f>RevenueStreams!$E$34</f>
        <v>Per Hr</v>
      </c>
      <c r="T42" s="512">
        <f>R42*RevenueStreams!$D$34</f>
        <v>400</v>
      </c>
      <c r="U42" s="514">
        <f>1*8*1</f>
        <v>8</v>
      </c>
      <c r="V42" s="515" t="str">
        <f>RevenueStreams!$E$34</f>
        <v>Per Hr</v>
      </c>
      <c r="W42" s="512">
        <f>U42*RevenueStreams!$D$34</f>
        <v>400</v>
      </c>
      <c r="X42" s="514">
        <f>1*8*1</f>
        <v>8</v>
      </c>
      <c r="Y42" s="515" t="str">
        <f>RevenueStreams!$E$34</f>
        <v>Per Hr</v>
      </c>
      <c r="Z42" s="512">
        <f>X42*RevenueStreams!$D$34</f>
        <v>400</v>
      </c>
      <c r="AA42" s="514">
        <f>1*8*1</f>
        <v>8</v>
      </c>
      <c r="AB42" s="515" t="str">
        <f>RevenueStreams!$E$34</f>
        <v>Per Hr</v>
      </c>
      <c r="AC42" s="512">
        <f>AA42*RevenueStreams!$D$34</f>
        <v>400</v>
      </c>
      <c r="AD42" s="514">
        <f>1*8*1</f>
        <v>8</v>
      </c>
      <c r="AE42" s="515" t="str">
        <f>RevenueStreams!$E$34</f>
        <v>Per Hr</v>
      </c>
      <c r="AF42" s="512">
        <f>AD42*RevenueStreams!$D$34</f>
        <v>400</v>
      </c>
      <c r="AG42" s="514">
        <f>1*8*1</f>
        <v>8</v>
      </c>
      <c r="AH42" s="515" t="str">
        <f>RevenueStreams!$E$34</f>
        <v>Per Hr</v>
      </c>
      <c r="AI42" s="512">
        <f>AG42*RevenueStreams!$D$34</f>
        <v>400</v>
      </c>
      <c r="AJ42" s="514">
        <f>1*8*1</f>
        <v>8</v>
      </c>
      <c r="AK42" s="515" t="str">
        <f>RevenueStreams!$E$34</f>
        <v>Per Hr</v>
      </c>
      <c r="AL42" s="512">
        <f>AJ42*RevenueStreams!$D$34</f>
        <v>400</v>
      </c>
    </row>
    <row r="43" spans="1:38" x14ac:dyDescent="0.35">
      <c r="A43" s="471">
        <f t="shared" si="2"/>
        <v>0</v>
      </c>
      <c r="B43" s="513"/>
      <c r="C43" s="514"/>
      <c r="D43" s="515"/>
      <c r="E43" s="512">
        <f>C43*RevenueStreams!$D$34</f>
        <v>0</v>
      </c>
      <c r="F43" s="514"/>
      <c r="G43" s="515"/>
      <c r="H43" s="512">
        <f>F43*RevenueStreams!$D$34</f>
        <v>0</v>
      </c>
      <c r="I43" s="514"/>
      <c r="J43" s="515"/>
      <c r="K43" s="512">
        <f>I43*RevenueStreams!$D$34</f>
        <v>0</v>
      </c>
      <c r="L43" s="514"/>
      <c r="M43" s="515"/>
      <c r="N43" s="512">
        <f>L43*RevenueStreams!$D$34</f>
        <v>0</v>
      </c>
      <c r="O43" s="514"/>
      <c r="P43" s="515"/>
      <c r="Q43" s="512">
        <f>O43*RevenueStreams!$D$34</f>
        <v>0</v>
      </c>
      <c r="R43" s="514"/>
      <c r="S43" s="515"/>
      <c r="T43" s="512">
        <f>R43*RevenueStreams!$D$34</f>
        <v>0</v>
      </c>
      <c r="U43" s="514"/>
      <c r="V43" s="515"/>
      <c r="W43" s="512">
        <f>U43*RevenueStreams!$D$34</f>
        <v>0</v>
      </c>
      <c r="X43" s="514"/>
      <c r="Y43" s="515"/>
      <c r="Z43" s="512">
        <f>X43*RevenueStreams!$D$34</f>
        <v>0</v>
      </c>
      <c r="AA43" s="514"/>
      <c r="AB43" s="515"/>
      <c r="AC43" s="512">
        <f>AA43*RevenueStreams!$D$34</f>
        <v>0</v>
      </c>
      <c r="AD43" s="514"/>
      <c r="AE43" s="515"/>
      <c r="AF43" s="512">
        <f>AD43*RevenueStreams!$D$34</f>
        <v>0</v>
      </c>
      <c r="AG43" s="514"/>
      <c r="AH43" s="515"/>
      <c r="AI43" s="512">
        <f>AG43*RevenueStreams!$D$34</f>
        <v>0</v>
      </c>
      <c r="AJ43" s="514"/>
      <c r="AK43" s="515"/>
      <c r="AL43" s="512">
        <f>AJ43*RevenueStreams!$D$34</f>
        <v>0</v>
      </c>
    </row>
    <row r="44" spans="1:38" x14ac:dyDescent="0.35">
      <c r="A44" s="471">
        <f t="shared" si="2"/>
        <v>0</v>
      </c>
      <c r="B44" s="513"/>
      <c r="C44" s="514"/>
      <c r="D44" s="515"/>
      <c r="E44" s="512">
        <f>C44*RevenueStreams!$D$34</f>
        <v>0</v>
      </c>
      <c r="F44" s="514"/>
      <c r="G44" s="515"/>
      <c r="H44" s="512">
        <f>F44*RevenueStreams!$D$34</f>
        <v>0</v>
      </c>
      <c r="I44" s="514"/>
      <c r="J44" s="515"/>
      <c r="K44" s="512">
        <f>I44*RevenueStreams!$D$34</f>
        <v>0</v>
      </c>
      <c r="L44" s="514"/>
      <c r="M44" s="515"/>
      <c r="N44" s="512">
        <f>L44*RevenueStreams!$D$34</f>
        <v>0</v>
      </c>
      <c r="O44" s="514"/>
      <c r="P44" s="515"/>
      <c r="Q44" s="512">
        <f>O44*RevenueStreams!$D$34</f>
        <v>0</v>
      </c>
      <c r="R44" s="514"/>
      <c r="S44" s="515"/>
      <c r="T44" s="512">
        <f>R44*RevenueStreams!$D$34</f>
        <v>0</v>
      </c>
      <c r="U44" s="514"/>
      <c r="V44" s="515"/>
      <c r="W44" s="512">
        <f>U44*RevenueStreams!$D$34</f>
        <v>0</v>
      </c>
      <c r="X44" s="514"/>
      <c r="Y44" s="515"/>
      <c r="Z44" s="512">
        <f>X44*RevenueStreams!$D$34</f>
        <v>0</v>
      </c>
      <c r="AA44" s="514"/>
      <c r="AB44" s="515"/>
      <c r="AC44" s="512">
        <f>AA44*RevenueStreams!$D$34</f>
        <v>0</v>
      </c>
      <c r="AD44" s="514"/>
      <c r="AE44" s="515"/>
      <c r="AF44" s="512">
        <f>AD44*RevenueStreams!$D$34</f>
        <v>0</v>
      </c>
      <c r="AG44" s="514"/>
      <c r="AH44" s="515"/>
      <c r="AI44" s="512">
        <f>AG44*RevenueStreams!$D$34</f>
        <v>0</v>
      </c>
      <c r="AJ44" s="514"/>
      <c r="AK44" s="515"/>
      <c r="AL44" s="512">
        <f>AJ44*RevenueStreams!$D$34</f>
        <v>0</v>
      </c>
    </row>
    <row r="45" spans="1:38" x14ac:dyDescent="0.35">
      <c r="A45" s="471">
        <f t="shared" si="2"/>
        <v>0</v>
      </c>
      <c r="B45" s="513"/>
      <c r="C45" s="514"/>
      <c r="D45" s="515"/>
      <c r="E45" s="512">
        <f>C45*RevenueStreams!$D$34</f>
        <v>0</v>
      </c>
      <c r="F45" s="514"/>
      <c r="G45" s="515"/>
      <c r="H45" s="512">
        <f>F45*RevenueStreams!$D$34</f>
        <v>0</v>
      </c>
      <c r="I45" s="514"/>
      <c r="J45" s="515"/>
      <c r="K45" s="512">
        <f>I45*RevenueStreams!$D$34</f>
        <v>0</v>
      </c>
      <c r="L45" s="514"/>
      <c r="M45" s="515"/>
      <c r="N45" s="512">
        <f>L45*RevenueStreams!$D$34</f>
        <v>0</v>
      </c>
      <c r="O45" s="514"/>
      <c r="P45" s="515"/>
      <c r="Q45" s="512">
        <f>O45*RevenueStreams!$D$34</f>
        <v>0</v>
      </c>
      <c r="R45" s="514"/>
      <c r="S45" s="515"/>
      <c r="T45" s="512">
        <f>R45*RevenueStreams!$D$34</f>
        <v>0</v>
      </c>
      <c r="U45" s="514"/>
      <c r="V45" s="515"/>
      <c r="W45" s="512">
        <f>U45*RevenueStreams!$D$34</f>
        <v>0</v>
      </c>
      <c r="X45" s="514"/>
      <c r="Y45" s="515"/>
      <c r="Z45" s="512">
        <f>X45*RevenueStreams!$D$34</f>
        <v>0</v>
      </c>
      <c r="AA45" s="514"/>
      <c r="AB45" s="515"/>
      <c r="AC45" s="512">
        <f>AA45*RevenueStreams!$D$34</f>
        <v>0</v>
      </c>
      <c r="AD45" s="514"/>
      <c r="AE45" s="515"/>
      <c r="AF45" s="512">
        <f>AD45*RevenueStreams!$D$34</f>
        <v>0</v>
      </c>
      <c r="AG45" s="514"/>
      <c r="AH45" s="515"/>
      <c r="AI45" s="512">
        <f>AG45*RevenueStreams!$D$34</f>
        <v>0</v>
      </c>
      <c r="AJ45" s="514"/>
      <c r="AK45" s="515"/>
      <c r="AL45" s="512">
        <f>AJ45*RevenueStreams!$D$34</f>
        <v>0</v>
      </c>
    </row>
    <row r="46" spans="1:38" x14ac:dyDescent="0.35">
      <c r="A46" s="471">
        <f t="shared" si="2"/>
        <v>0</v>
      </c>
      <c r="B46" s="513" t="s">
        <v>499</v>
      </c>
      <c r="C46" s="514">
        <v>0</v>
      </c>
      <c r="D46" s="515" t="str">
        <f>RevenueStreams!$E$36</f>
        <v>% of Charged</v>
      </c>
      <c r="E46" s="512">
        <f>C46*RevenueStreams!$D$36</f>
        <v>0</v>
      </c>
      <c r="F46" s="514">
        <v>0</v>
      </c>
      <c r="G46" s="515" t="str">
        <f>RevenueStreams!$E$36</f>
        <v>% of Charged</v>
      </c>
      <c r="H46" s="512">
        <f>F46*RevenueStreams!$D$36</f>
        <v>0</v>
      </c>
      <c r="I46" s="514">
        <v>0</v>
      </c>
      <c r="J46" s="515" t="str">
        <f>RevenueStreams!$E$36</f>
        <v>% of Charged</v>
      </c>
      <c r="K46" s="512">
        <f>I46*RevenueStreams!$D$36</f>
        <v>0</v>
      </c>
      <c r="L46" s="514">
        <v>0</v>
      </c>
      <c r="M46" s="515" t="str">
        <f>RevenueStreams!$E$36</f>
        <v>% of Charged</v>
      </c>
      <c r="N46" s="512">
        <f>L46*RevenueStreams!$D$36</f>
        <v>0</v>
      </c>
      <c r="O46" s="514">
        <v>0</v>
      </c>
      <c r="P46" s="515" t="str">
        <f>RevenueStreams!$E$36</f>
        <v>% of Charged</v>
      </c>
      <c r="Q46" s="512">
        <f>O46*RevenueStreams!$D$36</f>
        <v>0</v>
      </c>
      <c r="R46" s="514">
        <v>0</v>
      </c>
      <c r="S46" s="515" t="str">
        <f>RevenueStreams!$E$36</f>
        <v>% of Charged</v>
      </c>
      <c r="T46" s="512">
        <f>R46*RevenueStreams!$D$36</f>
        <v>0</v>
      </c>
      <c r="U46" s="514">
        <v>0</v>
      </c>
      <c r="V46" s="515" t="str">
        <f>RevenueStreams!$E$36</f>
        <v>% of Charged</v>
      </c>
      <c r="W46" s="512">
        <f>U46*RevenueStreams!$D$36</f>
        <v>0</v>
      </c>
      <c r="X46" s="514">
        <v>0</v>
      </c>
      <c r="Y46" s="515" t="str">
        <f>RevenueStreams!$E$36</f>
        <v>% of Charged</v>
      </c>
      <c r="Z46" s="512">
        <f>X46*RevenueStreams!$D$36</f>
        <v>0</v>
      </c>
      <c r="AA46" s="514">
        <v>0</v>
      </c>
      <c r="AB46" s="515" t="str">
        <f>RevenueStreams!$E$36</f>
        <v>% of Charged</v>
      </c>
      <c r="AC46" s="512">
        <f>AA46*RevenueStreams!$D$36</f>
        <v>0</v>
      </c>
      <c r="AD46" s="514">
        <v>0</v>
      </c>
      <c r="AE46" s="515" t="str">
        <f>RevenueStreams!$E$36</f>
        <v>% of Charged</v>
      </c>
      <c r="AF46" s="512">
        <f>AD46*RevenueStreams!$D$36</f>
        <v>0</v>
      </c>
      <c r="AG46" s="514">
        <v>0</v>
      </c>
      <c r="AH46" s="515" t="str">
        <f>RevenueStreams!$E$36</f>
        <v>% of Charged</v>
      </c>
      <c r="AI46" s="512">
        <f>AG46*RevenueStreams!$D$36</f>
        <v>0</v>
      </c>
      <c r="AJ46" s="514">
        <v>0</v>
      </c>
      <c r="AK46" s="515" t="str">
        <f>RevenueStreams!$E$36</f>
        <v>% of Charged</v>
      </c>
      <c r="AL46" s="512">
        <f>AJ46*RevenueStreams!$D$36</f>
        <v>0</v>
      </c>
    </row>
    <row r="47" spans="1:38" s="110" customFormat="1" x14ac:dyDescent="0.35">
      <c r="A47" s="469">
        <f t="shared" si="2"/>
        <v>21898.976000000002</v>
      </c>
      <c r="B47" s="509" t="s">
        <v>687</v>
      </c>
      <c r="C47" s="519">
        <f>SUM(C21:C46)</f>
        <v>76</v>
      </c>
      <c r="D47" s="511"/>
      <c r="E47" s="520">
        <f>SUM(E21:E46)</f>
        <v>1424.9146666666666</v>
      </c>
      <c r="F47" s="519">
        <f>SUM(F21:F46)</f>
        <v>76</v>
      </c>
      <c r="G47" s="511"/>
      <c r="H47" s="520">
        <f>SUM(H21:H46)</f>
        <v>1424.9146666666666</v>
      </c>
      <c r="I47" s="519">
        <f>SUM(I21:I46)</f>
        <v>76</v>
      </c>
      <c r="J47" s="511"/>
      <c r="K47" s="520">
        <f>SUM(K21:K46)</f>
        <v>1424.9146666666666</v>
      </c>
      <c r="L47" s="519">
        <f>SUM(L21:L46)</f>
        <v>76</v>
      </c>
      <c r="M47" s="511"/>
      <c r="N47" s="520">
        <f>SUM(N21:N46)</f>
        <v>1424.9146666666666</v>
      </c>
      <c r="O47" s="519">
        <f>SUM(O21:O46)</f>
        <v>76</v>
      </c>
      <c r="P47" s="511"/>
      <c r="Q47" s="520">
        <f>SUM(Q21:Q46)</f>
        <v>1424.9146666666666</v>
      </c>
      <c r="R47" s="519">
        <f>SUM(R21:R46)</f>
        <v>78</v>
      </c>
      <c r="S47" s="511"/>
      <c r="T47" s="520">
        <f>SUM(T21:T46)</f>
        <v>1904.9146666666666</v>
      </c>
      <c r="U47" s="519">
        <f>SUM(U21:U46)</f>
        <v>79</v>
      </c>
      <c r="V47" s="511"/>
      <c r="W47" s="520">
        <f>SUM(W21:W46)</f>
        <v>2192.9146666666666</v>
      </c>
      <c r="X47" s="519">
        <f>SUM(X21:X46)</f>
        <v>79</v>
      </c>
      <c r="Y47" s="511"/>
      <c r="Z47" s="520">
        <f>SUM(Z21:Z46)</f>
        <v>2192.9146666666666</v>
      </c>
      <c r="AA47" s="519">
        <f>SUM(AA21:AA46)</f>
        <v>79</v>
      </c>
      <c r="AB47" s="511"/>
      <c r="AC47" s="520">
        <f>SUM(AC21:AC46)</f>
        <v>2192.9146666666666</v>
      </c>
      <c r="AD47" s="519">
        <f>SUM(AD21:AD46)</f>
        <v>78</v>
      </c>
      <c r="AE47" s="511"/>
      <c r="AF47" s="520">
        <f>SUM(AF21:AF46)</f>
        <v>1904.9146666666666</v>
      </c>
      <c r="AG47" s="519">
        <f>SUM(AG21:AG46)</f>
        <v>79</v>
      </c>
      <c r="AH47" s="511"/>
      <c r="AI47" s="520">
        <f>SUM(AI21:AI46)</f>
        <v>2192.9146666666666</v>
      </c>
      <c r="AJ47" s="519">
        <f>SUM(AJ21:AJ46)</f>
        <v>79</v>
      </c>
      <c r="AK47" s="511"/>
      <c r="AL47" s="520">
        <f>SUM(AL21:AL46)</f>
        <v>2192.9146666666666</v>
      </c>
    </row>
    <row r="49" spans="1:41" x14ac:dyDescent="0.35">
      <c r="A49" s="507" t="s">
        <v>653</v>
      </c>
      <c r="B49" s="508" t="s">
        <v>688</v>
      </c>
      <c r="C49" s="501" t="s">
        <v>33</v>
      </c>
      <c r="D49" s="502"/>
      <c r="E49" s="503" t="s">
        <v>320</v>
      </c>
      <c r="F49" s="501" t="s">
        <v>33</v>
      </c>
      <c r="G49" s="502"/>
      <c r="H49" s="503" t="s">
        <v>320</v>
      </c>
      <c r="I49" s="501" t="s">
        <v>33</v>
      </c>
      <c r="J49" s="502"/>
      <c r="K49" s="503" t="s">
        <v>320</v>
      </c>
      <c r="L49" s="501" t="s">
        <v>33</v>
      </c>
      <c r="M49" s="502"/>
      <c r="N49" s="503" t="s">
        <v>320</v>
      </c>
      <c r="O49" s="501" t="s">
        <v>33</v>
      </c>
      <c r="P49" s="502"/>
      <c r="Q49" s="503" t="s">
        <v>320</v>
      </c>
      <c r="R49" s="501" t="s">
        <v>33</v>
      </c>
      <c r="S49" s="502"/>
      <c r="T49" s="503" t="s">
        <v>320</v>
      </c>
      <c r="U49" s="501" t="s">
        <v>33</v>
      </c>
      <c r="V49" s="502"/>
      <c r="W49" s="503" t="s">
        <v>320</v>
      </c>
      <c r="X49" s="501" t="s">
        <v>33</v>
      </c>
      <c r="Y49" s="502"/>
      <c r="Z49" s="503" t="s">
        <v>320</v>
      </c>
      <c r="AA49" s="501" t="s">
        <v>33</v>
      </c>
      <c r="AB49" s="502"/>
      <c r="AC49" s="503" t="s">
        <v>320</v>
      </c>
      <c r="AD49" s="501" t="s">
        <v>33</v>
      </c>
      <c r="AE49" s="502"/>
      <c r="AF49" s="503" t="s">
        <v>320</v>
      </c>
      <c r="AG49" s="501" t="s">
        <v>33</v>
      </c>
      <c r="AH49" s="502"/>
      <c r="AI49" s="503" t="s">
        <v>320</v>
      </c>
      <c r="AJ49" s="501" t="s">
        <v>33</v>
      </c>
      <c r="AK49" s="502"/>
      <c r="AL49" s="503" t="s">
        <v>320</v>
      </c>
    </row>
    <row r="50" spans="1:41" x14ac:dyDescent="0.35">
      <c r="A50" s="471">
        <f>SUM(E50,H50,K50,N50,Q50,T50,W50,Z50,AC50,AF50,AI50,AL50)</f>
        <v>49308.480000000003</v>
      </c>
      <c r="B50" s="506" t="str">
        <f>Payroll!B19</f>
        <v xml:space="preserve">Director: </v>
      </c>
      <c r="C50" s="517">
        <v>120</v>
      </c>
      <c r="D50" s="504"/>
      <c r="E50" s="461">
        <f>C50*Payroll!$O$19/(50*5*8/12)</f>
        <v>4109.04</v>
      </c>
      <c r="F50" s="517">
        <v>120</v>
      </c>
      <c r="G50" s="504"/>
      <c r="H50" s="461">
        <f>F50*Payroll!$O$19/(50*5*8/12)</f>
        <v>4109.04</v>
      </c>
      <c r="I50" s="517">
        <v>120</v>
      </c>
      <c r="J50" s="504"/>
      <c r="K50" s="461">
        <f>I50*Payroll!$O$19/(50*5*8/12)</f>
        <v>4109.04</v>
      </c>
      <c r="L50" s="517">
        <v>120</v>
      </c>
      <c r="M50" s="504"/>
      <c r="N50" s="461">
        <f>L50*Payroll!$O$19/(50*5*8/12)</f>
        <v>4109.04</v>
      </c>
      <c r="O50" s="517">
        <v>120</v>
      </c>
      <c r="P50" s="504"/>
      <c r="Q50" s="461">
        <f>O50*Payroll!$O$19/(50*5*8/12)</f>
        <v>4109.04</v>
      </c>
      <c r="R50" s="517">
        <v>120</v>
      </c>
      <c r="S50" s="504"/>
      <c r="T50" s="461">
        <f>R50*Payroll!$O$19/(50*5*8/12)</f>
        <v>4109.04</v>
      </c>
      <c r="U50" s="517">
        <v>120</v>
      </c>
      <c r="V50" s="504"/>
      <c r="W50" s="461">
        <f>U50*Payroll!$O$19/(50*5*8/12)</f>
        <v>4109.04</v>
      </c>
      <c r="X50" s="517">
        <v>120</v>
      </c>
      <c r="Y50" s="504"/>
      <c r="Z50" s="461">
        <f>X50*Payroll!$O$19/(50*5*8/12)</f>
        <v>4109.04</v>
      </c>
      <c r="AA50" s="517">
        <v>120</v>
      </c>
      <c r="AB50" s="504"/>
      <c r="AC50" s="461">
        <f>AA50*Payroll!$O$19/(50*5*8/12)</f>
        <v>4109.04</v>
      </c>
      <c r="AD50" s="517">
        <v>120</v>
      </c>
      <c r="AE50" s="504"/>
      <c r="AF50" s="461">
        <f>AD50*Payroll!$O$19/(50*5*8/12)</f>
        <v>4109.04</v>
      </c>
      <c r="AG50" s="517">
        <v>120</v>
      </c>
      <c r="AH50" s="504"/>
      <c r="AI50" s="461">
        <f>AG50*Payroll!$O$19/(50*5*8/12)</f>
        <v>4109.04</v>
      </c>
      <c r="AJ50" s="517">
        <v>120</v>
      </c>
      <c r="AK50" s="504"/>
      <c r="AL50" s="461">
        <f>AJ50*Payroll!$O$19/(50*5*8/12)</f>
        <v>4109.04</v>
      </c>
      <c r="AN50" s="114" t="s">
        <v>744</v>
      </c>
      <c r="AO50" s="446">
        <f>SUM(A50:A56)</f>
        <v>98616.960000000006</v>
      </c>
    </row>
    <row r="51" spans="1:41" x14ac:dyDescent="0.35">
      <c r="A51" s="471">
        <f>SUM(E51,H51,K51,N51,Q51,T51,W51,Z51,AC51,AF51,AI51,AL51)</f>
        <v>0</v>
      </c>
      <c r="B51" s="506" t="str">
        <f>Payroll!B20</f>
        <v xml:space="preserve">Marketing &amp; Market Development: </v>
      </c>
      <c r="C51" s="517"/>
      <c r="D51" s="504"/>
      <c r="E51" s="461">
        <f>C51*Payroll!$O$19/(50*5*8/12)</f>
        <v>0</v>
      </c>
      <c r="F51" s="517"/>
      <c r="G51" s="504"/>
      <c r="H51" s="461">
        <f>F51*Payroll!$O$19/(50*5*8/12)</f>
        <v>0</v>
      </c>
      <c r="I51" s="517"/>
      <c r="J51" s="504"/>
      <c r="K51" s="461">
        <f>I51*Payroll!$O$19/(50*5*8/12)</f>
        <v>0</v>
      </c>
      <c r="L51" s="517"/>
      <c r="M51" s="504"/>
      <c r="N51" s="461">
        <f>L51*Payroll!$O$19/(50*5*8/12)</f>
        <v>0</v>
      </c>
      <c r="O51" s="517"/>
      <c r="P51" s="504"/>
      <c r="Q51" s="461">
        <f>O51*Payroll!$O$19/(50*5*8/12)</f>
        <v>0</v>
      </c>
      <c r="R51" s="517"/>
      <c r="S51" s="504"/>
      <c r="T51" s="461">
        <f>R51*Payroll!$O$19/(50*5*8/12)</f>
        <v>0</v>
      </c>
      <c r="U51" s="517"/>
      <c r="V51" s="504"/>
      <c r="W51" s="461">
        <f>U51*Payroll!$O$19/(50*5*8/12)</f>
        <v>0</v>
      </c>
      <c r="X51" s="517"/>
      <c r="Y51" s="504"/>
      <c r="Z51" s="461">
        <f>X51*Payroll!$O$19/(50*5*8/12)</f>
        <v>0</v>
      </c>
      <c r="AA51" s="517"/>
      <c r="AB51" s="504"/>
      <c r="AC51" s="461">
        <f>AA51*Payroll!$O$19/(50*5*8/12)</f>
        <v>0</v>
      </c>
      <c r="AD51" s="517"/>
      <c r="AE51" s="504"/>
      <c r="AF51" s="461">
        <f>AD51*Payroll!$O$19/(50*5*8/12)</f>
        <v>0</v>
      </c>
      <c r="AG51" s="517"/>
      <c r="AH51" s="504"/>
      <c r="AI51" s="461">
        <f>AG51*Payroll!$O$19/(50*5*8/12)</f>
        <v>0</v>
      </c>
      <c r="AJ51" s="517"/>
      <c r="AK51" s="504"/>
      <c r="AL51" s="461">
        <f>AJ51*Payroll!$O$19/(50*5*8/12)</f>
        <v>0</v>
      </c>
      <c r="AN51" s="114" t="s">
        <v>745</v>
      </c>
      <c r="AO51" s="446">
        <f>SUM(A61,A62,A63,A68,A70,A71,A72,A74)</f>
        <v>27300</v>
      </c>
    </row>
    <row r="52" spans="1:41" x14ac:dyDescent="0.35">
      <c r="A52" s="471">
        <f>SUM(E52,H52,K52,N52,Q52,T52,W52,Z52,AC52,AF52,AI52,AL52)</f>
        <v>49308.480000000003</v>
      </c>
      <c r="B52" s="506" t="str">
        <f>Payroll!B21</f>
        <v xml:space="preserve">Food Safety &amp; Nutrition: </v>
      </c>
      <c r="C52" s="517">
        <v>120</v>
      </c>
      <c r="D52" s="504"/>
      <c r="E52" s="461">
        <f>C52*Payroll!$O$19/(50*5*8/12)</f>
        <v>4109.04</v>
      </c>
      <c r="F52" s="517">
        <v>120</v>
      </c>
      <c r="G52" s="504"/>
      <c r="H52" s="461">
        <f>F52*Payroll!$O$19/(50*5*8/12)</f>
        <v>4109.04</v>
      </c>
      <c r="I52" s="517">
        <v>120</v>
      </c>
      <c r="J52" s="504"/>
      <c r="K52" s="461">
        <f>I52*Payroll!$O$19/(50*5*8/12)</f>
        <v>4109.04</v>
      </c>
      <c r="L52" s="517">
        <v>120</v>
      </c>
      <c r="M52" s="504"/>
      <c r="N52" s="461">
        <f>L52*Payroll!$O$19/(50*5*8/12)</f>
        <v>4109.04</v>
      </c>
      <c r="O52" s="517">
        <v>120</v>
      </c>
      <c r="P52" s="504"/>
      <c r="Q52" s="461">
        <f>O52*Payroll!$O$19/(50*5*8/12)</f>
        <v>4109.04</v>
      </c>
      <c r="R52" s="517">
        <v>120</v>
      </c>
      <c r="S52" s="504"/>
      <c r="T52" s="461">
        <f>R52*Payroll!$O$19/(50*5*8/12)</f>
        <v>4109.04</v>
      </c>
      <c r="U52" s="517">
        <v>120</v>
      </c>
      <c r="V52" s="504"/>
      <c r="W52" s="461">
        <f>U52*Payroll!$O$19/(50*5*8/12)</f>
        <v>4109.04</v>
      </c>
      <c r="X52" s="517">
        <v>120</v>
      </c>
      <c r="Y52" s="504"/>
      <c r="Z52" s="461">
        <f>X52*Payroll!$O$19/(50*5*8/12)</f>
        <v>4109.04</v>
      </c>
      <c r="AA52" s="517">
        <v>120</v>
      </c>
      <c r="AB52" s="504"/>
      <c r="AC52" s="461">
        <f>AA52*Payroll!$O$19/(50*5*8/12)</f>
        <v>4109.04</v>
      </c>
      <c r="AD52" s="517">
        <v>120</v>
      </c>
      <c r="AE52" s="504"/>
      <c r="AF52" s="461">
        <f>AD52*Payroll!$O$19/(50*5*8/12)</f>
        <v>4109.04</v>
      </c>
      <c r="AG52" s="517">
        <v>120</v>
      </c>
      <c r="AH52" s="504"/>
      <c r="AI52" s="461">
        <f>AG52*Payroll!$O$19/(50*5*8/12)</f>
        <v>4109.04</v>
      </c>
      <c r="AJ52" s="517">
        <v>120</v>
      </c>
      <c r="AK52" s="504"/>
      <c r="AL52" s="461">
        <f>AJ52*Payroll!$O$19/(50*5*8/12)</f>
        <v>4109.04</v>
      </c>
      <c r="AN52" s="114" t="s">
        <v>746</v>
      </c>
      <c r="AO52" s="446">
        <f>SUM(A62,A64,A66,A67,A75)</f>
        <v>23050</v>
      </c>
    </row>
    <row r="53" spans="1:41" x14ac:dyDescent="0.35">
      <c r="A53" s="471">
        <f>SUM(E53,H53,K53,N53,Q53,T53,W53,Z53,AC53,AF53,AI53,AL53)</f>
        <v>0</v>
      </c>
      <c r="B53" s="506" t="str">
        <f>Payroll!B22</f>
        <v xml:space="preserve">Food Industry Client Coach: </v>
      </c>
      <c r="C53" s="517"/>
      <c r="D53" s="504"/>
      <c r="E53" s="461">
        <f>C53*Payroll!$O$19/(50*5*8/12)</f>
        <v>0</v>
      </c>
      <c r="F53" s="517"/>
      <c r="G53" s="504"/>
      <c r="H53" s="461">
        <f>F53*Payroll!$O$19/(50*5*8/12)</f>
        <v>0</v>
      </c>
      <c r="I53" s="517"/>
      <c r="J53" s="504"/>
      <c r="K53" s="461">
        <f>I53*Payroll!$O$19/(50*5*8/12)</f>
        <v>0</v>
      </c>
      <c r="L53" s="517"/>
      <c r="M53" s="504"/>
      <c r="N53" s="461">
        <f>L53*Payroll!$O$19/(50*5*8/12)</f>
        <v>0</v>
      </c>
      <c r="O53" s="517"/>
      <c r="P53" s="504"/>
      <c r="Q53" s="461">
        <f>O53*Payroll!$O$19/(50*5*8/12)</f>
        <v>0</v>
      </c>
      <c r="R53" s="517"/>
      <c r="S53" s="504"/>
      <c r="T53" s="461">
        <f>R53*Payroll!$O$19/(50*5*8/12)</f>
        <v>0</v>
      </c>
      <c r="U53" s="517"/>
      <c r="V53" s="504"/>
      <c r="W53" s="461">
        <f>U53*Payroll!$O$19/(50*5*8/12)</f>
        <v>0</v>
      </c>
      <c r="X53" s="517"/>
      <c r="Y53" s="504"/>
      <c r="Z53" s="461">
        <f>X53*Payroll!$O$19/(50*5*8/12)</f>
        <v>0</v>
      </c>
      <c r="AA53" s="517"/>
      <c r="AB53" s="504"/>
      <c r="AC53" s="461">
        <f>AA53*Payroll!$O$19/(50*5*8/12)</f>
        <v>0</v>
      </c>
      <c r="AD53" s="517"/>
      <c r="AE53" s="504"/>
      <c r="AF53" s="461">
        <f>AD53*Payroll!$O$19/(50*5*8/12)</f>
        <v>0</v>
      </c>
      <c r="AG53" s="517"/>
      <c r="AH53" s="504"/>
      <c r="AI53" s="461">
        <f>AG53*Payroll!$O$19/(50*5*8/12)</f>
        <v>0</v>
      </c>
      <c r="AJ53" s="517"/>
      <c r="AK53" s="504"/>
      <c r="AL53" s="461">
        <f>AJ53*Payroll!$O$19/(50*5*8/12)</f>
        <v>0</v>
      </c>
      <c r="AN53" s="114" t="s">
        <v>747</v>
      </c>
      <c r="AO53" s="446">
        <f>SUM(A65,A60,A73)</f>
        <v>8400</v>
      </c>
    </row>
    <row r="54" spans="1:41" x14ac:dyDescent="0.35">
      <c r="A54" s="471">
        <f>SUM(E54,H54,K54,N54,Q54,T54,W54,Z54,AC54,AF54,AI54,AL54)</f>
        <v>0</v>
      </c>
      <c r="B54" s="506" t="str">
        <f>Payroll!B23</f>
        <v xml:space="preserve">Food Processing (part time): </v>
      </c>
      <c r="C54" s="517"/>
      <c r="D54" s="504"/>
      <c r="E54" s="461">
        <f>C54*Payroll!$O$19/(50*5*8/12)</f>
        <v>0</v>
      </c>
      <c r="F54" s="517"/>
      <c r="G54" s="504"/>
      <c r="H54" s="461">
        <f>F54*Payroll!$O$19/(50*5*8/12)</f>
        <v>0</v>
      </c>
      <c r="I54" s="517"/>
      <c r="J54" s="504"/>
      <c r="K54" s="461">
        <f>I54*Payroll!$O$19/(50*5*8/12)</f>
        <v>0</v>
      </c>
      <c r="L54" s="517"/>
      <c r="M54" s="504"/>
      <c r="N54" s="461">
        <f>L54*Payroll!$O$19/(50*5*8/12)</f>
        <v>0</v>
      </c>
      <c r="O54" s="517"/>
      <c r="P54" s="504"/>
      <c r="Q54" s="461">
        <f>O54*Payroll!$O$19/(50*5*8/12)</f>
        <v>0</v>
      </c>
      <c r="R54" s="517"/>
      <c r="S54" s="504"/>
      <c r="T54" s="461">
        <f>R54*Payroll!$O$19/(50*5*8/12)</f>
        <v>0</v>
      </c>
      <c r="U54" s="517"/>
      <c r="V54" s="504"/>
      <c r="W54" s="461">
        <f>U54*Payroll!$O$19/(50*5*8/12)</f>
        <v>0</v>
      </c>
      <c r="X54" s="517"/>
      <c r="Y54" s="504"/>
      <c r="Z54" s="461">
        <f>X54*Payroll!$O$19/(50*5*8/12)</f>
        <v>0</v>
      </c>
      <c r="AA54" s="517"/>
      <c r="AB54" s="504"/>
      <c r="AC54" s="461">
        <f>AA54*Payroll!$O$19/(50*5*8/12)</f>
        <v>0</v>
      </c>
      <c r="AD54" s="517"/>
      <c r="AE54" s="504"/>
      <c r="AF54" s="461">
        <f>AD54*Payroll!$O$19/(50*5*8/12)</f>
        <v>0</v>
      </c>
      <c r="AG54" s="517"/>
      <c r="AH54" s="504"/>
      <c r="AI54" s="461">
        <f>AG54*Payroll!$O$19/(50*5*8/12)</f>
        <v>0</v>
      </c>
      <c r="AJ54" s="517"/>
      <c r="AK54" s="504"/>
      <c r="AL54" s="461">
        <f>AJ54*Payroll!$O$19/(50*5*8/12)</f>
        <v>0</v>
      </c>
    </row>
    <row r="55" spans="1:41" x14ac:dyDescent="0.35">
      <c r="A55" s="471">
        <f t="shared" ref="A55:A56" si="3">SUM(E55,H55,K55,N55,Q55,T55,W55,Z55,AC55,AF55,AI55,AL55)</f>
        <v>0</v>
      </c>
      <c r="B55" s="506" t="str">
        <f>Payroll!B24</f>
        <v xml:space="preserve">Other: </v>
      </c>
      <c r="C55" s="517"/>
      <c r="D55" s="504"/>
      <c r="E55" s="461">
        <f>C55*Payroll!$O$19/(50*5*8/12)</f>
        <v>0</v>
      </c>
      <c r="F55" s="517"/>
      <c r="G55" s="504"/>
      <c r="H55" s="461">
        <f>F55*Payroll!$O$19/(50*5*8/12)</f>
        <v>0</v>
      </c>
      <c r="I55" s="517"/>
      <c r="J55" s="504"/>
      <c r="K55" s="461">
        <f>I55*Payroll!$O$19/(50*5*8/12)</f>
        <v>0</v>
      </c>
      <c r="L55" s="517"/>
      <c r="M55" s="504"/>
      <c r="N55" s="461">
        <f>L55*Payroll!$O$19/(50*5*8/12)</f>
        <v>0</v>
      </c>
      <c r="O55" s="517"/>
      <c r="P55" s="504"/>
      <c r="Q55" s="461">
        <f>O55*Payroll!$O$19/(50*5*8/12)</f>
        <v>0</v>
      </c>
      <c r="R55" s="517"/>
      <c r="S55" s="504"/>
      <c r="T55" s="461">
        <f>R55*Payroll!$O$19/(50*5*8/12)</f>
        <v>0</v>
      </c>
      <c r="U55" s="517"/>
      <c r="V55" s="504"/>
      <c r="W55" s="461">
        <f>U55*Payroll!$O$19/(50*5*8/12)</f>
        <v>0</v>
      </c>
      <c r="X55" s="517"/>
      <c r="Y55" s="504"/>
      <c r="Z55" s="461">
        <f>X55*Payroll!$O$19/(50*5*8/12)</f>
        <v>0</v>
      </c>
      <c r="AA55" s="517"/>
      <c r="AB55" s="504"/>
      <c r="AC55" s="461">
        <f>AA55*Payroll!$O$19/(50*5*8/12)</f>
        <v>0</v>
      </c>
      <c r="AD55" s="517"/>
      <c r="AE55" s="504"/>
      <c r="AF55" s="461">
        <f>AD55*Payroll!$O$19/(50*5*8/12)</f>
        <v>0</v>
      </c>
      <c r="AG55" s="517"/>
      <c r="AH55" s="504"/>
      <c r="AI55" s="461">
        <f>AG55*Payroll!$O$19/(50*5*8/12)</f>
        <v>0</v>
      </c>
      <c r="AJ55" s="517"/>
      <c r="AK55" s="504"/>
      <c r="AL55" s="461">
        <f>AJ55*Payroll!$O$19/(50*5*8/12)</f>
        <v>0</v>
      </c>
    </row>
    <row r="56" spans="1:41" x14ac:dyDescent="0.35">
      <c r="A56" s="471">
        <f t="shared" si="3"/>
        <v>0</v>
      </c>
      <c r="B56" s="506" t="str">
        <f>Payroll!B25</f>
        <v xml:space="preserve">Other: </v>
      </c>
      <c r="C56" s="517"/>
      <c r="D56" s="504"/>
      <c r="E56" s="461">
        <f>C56*Payroll!$O$19/(50*5*8/12)</f>
        <v>0</v>
      </c>
      <c r="F56" s="517"/>
      <c r="G56" s="504"/>
      <c r="H56" s="461">
        <f>F56*Payroll!$O$19/(50*5*8/12)</f>
        <v>0</v>
      </c>
      <c r="I56" s="517"/>
      <c r="J56" s="504"/>
      <c r="K56" s="461">
        <f>I56*Payroll!$O$19/(50*5*8/12)</f>
        <v>0</v>
      </c>
      <c r="L56" s="517"/>
      <c r="M56" s="504"/>
      <c r="N56" s="461">
        <f>L56*Payroll!$O$19/(50*5*8/12)</f>
        <v>0</v>
      </c>
      <c r="O56" s="517"/>
      <c r="P56" s="504"/>
      <c r="Q56" s="461">
        <f>O56*Payroll!$O$19/(50*5*8/12)</f>
        <v>0</v>
      </c>
      <c r="R56" s="517"/>
      <c r="S56" s="504"/>
      <c r="T56" s="461">
        <f>R56*Payroll!$O$19/(50*5*8/12)</f>
        <v>0</v>
      </c>
      <c r="U56" s="517"/>
      <c r="V56" s="504"/>
      <c r="W56" s="461">
        <f>U56*Payroll!$O$19/(50*5*8/12)</f>
        <v>0</v>
      </c>
      <c r="X56" s="517"/>
      <c r="Y56" s="504"/>
      <c r="Z56" s="461">
        <f>X56*Payroll!$O$19/(50*5*8/12)</f>
        <v>0</v>
      </c>
      <c r="AA56" s="517"/>
      <c r="AB56" s="504"/>
      <c r="AC56" s="461">
        <f>AA56*Payroll!$O$19/(50*5*8/12)</f>
        <v>0</v>
      </c>
      <c r="AD56" s="517"/>
      <c r="AE56" s="504"/>
      <c r="AF56" s="461">
        <f>AD56*Payroll!$O$19/(50*5*8/12)</f>
        <v>0</v>
      </c>
      <c r="AG56" s="517"/>
      <c r="AH56" s="504"/>
      <c r="AI56" s="461">
        <f>AG56*Payroll!$O$19/(50*5*8/12)</f>
        <v>0</v>
      </c>
      <c r="AJ56" s="517"/>
      <c r="AK56" s="504"/>
      <c r="AL56" s="461">
        <f>AJ56*Payroll!$O$19/(50*5*8/12)</f>
        <v>0</v>
      </c>
    </row>
    <row r="57" spans="1:41" s="110" customFormat="1" x14ac:dyDescent="0.35">
      <c r="A57" s="469">
        <f>SUM(E57,H57,K57,N57,Q57,T57,W57,Z57,AC57,AF57,AI57,AL57)</f>
        <v>98616.960000000006</v>
      </c>
      <c r="B57" s="509" t="s">
        <v>689</v>
      </c>
      <c r="C57" s="516">
        <f>SUM(C50:C54)</f>
        <v>240</v>
      </c>
      <c r="D57" s="511"/>
      <c r="E57" s="510">
        <f>SUM(E50:E56)</f>
        <v>8218.08</v>
      </c>
      <c r="F57" s="516">
        <f>SUM(F50:F54)</f>
        <v>240</v>
      </c>
      <c r="G57" s="511"/>
      <c r="H57" s="510">
        <f>SUM(H50:H56)</f>
        <v>8218.08</v>
      </c>
      <c r="I57" s="516">
        <f>SUM(I50:I54)</f>
        <v>240</v>
      </c>
      <c r="J57" s="511"/>
      <c r="K57" s="510">
        <f>SUM(K50:K56)</f>
        <v>8218.08</v>
      </c>
      <c r="L57" s="516">
        <f>SUM(L50:L54)</f>
        <v>240</v>
      </c>
      <c r="M57" s="511"/>
      <c r="N57" s="510">
        <f>SUM(N50:N56)</f>
        <v>8218.08</v>
      </c>
      <c r="O57" s="516">
        <f>SUM(O50:O54)</f>
        <v>240</v>
      </c>
      <c r="P57" s="511"/>
      <c r="Q57" s="510">
        <f>SUM(Q50:Q56)</f>
        <v>8218.08</v>
      </c>
      <c r="R57" s="516">
        <f>SUM(R50:R54)</f>
        <v>240</v>
      </c>
      <c r="S57" s="511"/>
      <c r="T57" s="510">
        <f>SUM(T50:T56)</f>
        <v>8218.08</v>
      </c>
      <c r="U57" s="516">
        <f>SUM(U50:U54)</f>
        <v>240</v>
      </c>
      <c r="V57" s="511"/>
      <c r="W57" s="510">
        <f>SUM(W50:W56)</f>
        <v>8218.08</v>
      </c>
      <c r="X57" s="516">
        <f>SUM(X50:X54)</f>
        <v>240</v>
      </c>
      <c r="Y57" s="511"/>
      <c r="Z57" s="510">
        <f>SUM(Z50:Z56)</f>
        <v>8218.08</v>
      </c>
      <c r="AA57" s="516">
        <f>SUM(AA50:AA54)</f>
        <v>240</v>
      </c>
      <c r="AB57" s="511"/>
      <c r="AC57" s="510">
        <f>SUM(AC50:AC56)</f>
        <v>8218.08</v>
      </c>
      <c r="AD57" s="516">
        <f>SUM(AD50:AD54)</f>
        <v>240</v>
      </c>
      <c r="AE57" s="511"/>
      <c r="AF57" s="510">
        <f>SUM(AF50:AF56)</f>
        <v>8218.08</v>
      </c>
      <c r="AG57" s="516">
        <f>SUM(AG50:AG54)</f>
        <v>240</v>
      </c>
      <c r="AH57" s="511"/>
      <c r="AI57" s="510">
        <f>SUM(AI50:AI56)</f>
        <v>8218.08</v>
      </c>
      <c r="AJ57" s="516">
        <f>SUM(AJ50:AJ54)</f>
        <v>240</v>
      </c>
      <c r="AK57" s="511"/>
      <c r="AL57" s="510">
        <f>SUM(AL50:AL56)</f>
        <v>8218.08</v>
      </c>
    </row>
    <row r="59" spans="1:41" x14ac:dyDescent="0.35">
      <c r="A59" s="507" t="s">
        <v>653</v>
      </c>
      <c r="B59" s="508" t="s">
        <v>690</v>
      </c>
      <c r="C59" s="544" t="s">
        <v>654</v>
      </c>
      <c r="D59" s="545"/>
      <c r="E59" s="477" t="s">
        <v>320</v>
      </c>
      <c r="F59" s="544" t="s">
        <v>654</v>
      </c>
      <c r="G59" s="545"/>
      <c r="H59" s="477" t="s">
        <v>320</v>
      </c>
      <c r="I59" s="544" t="s">
        <v>654</v>
      </c>
      <c r="J59" s="545"/>
      <c r="K59" s="477" t="s">
        <v>320</v>
      </c>
      <c r="L59" s="544" t="s">
        <v>654</v>
      </c>
      <c r="M59" s="545"/>
      <c r="N59" s="477" t="s">
        <v>320</v>
      </c>
      <c r="O59" s="544" t="s">
        <v>654</v>
      </c>
      <c r="P59" s="545"/>
      <c r="Q59" s="477" t="s">
        <v>320</v>
      </c>
      <c r="R59" s="544" t="s">
        <v>654</v>
      </c>
      <c r="S59" s="545"/>
      <c r="T59" s="477" t="s">
        <v>320</v>
      </c>
      <c r="U59" s="544" t="s">
        <v>654</v>
      </c>
      <c r="V59" s="545"/>
      <c r="W59" s="477" t="s">
        <v>320</v>
      </c>
      <c r="X59" s="544" t="s">
        <v>654</v>
      </c>
      <c r="Y59" s="545"/>
      <c r="Z59" s="477" t="s">
        <v>320</v>
      </c>
      <c r="AA59" s="544" t="s">
        <v>654</v>
      </c>
      <c r="AB59" s="545"/>
      <c r="AC59" s="477" t="s">
        <v>320</v>
      </c>
      <c r="AD59" s="544" t="s">
        <v>654</v>
      </c>
      <c r="AE59" s="545"/>
      <c r="AF59" s="477" t="s">
        <v>320</v>
      </c>
      <c r="AG59" s="544" t="s">
        <v>654</v>
      </c>
      <c r="AH59" s="545"/>
      <c r="AI59" s="477" t="s">
        <v>320</v>
      </c>
      <c r="AJ59" s="544" t="s">
        <v>654</v>
      </c>
      <c r="AK59" s="545"/>
      <c r="AL59" s="477" t="s">
        <v>320</v>
      </c>
    </row>
    <row r="60" spans="1:41" x14ac:dyDescent="0.35">
      <c r="A60" s="471">
        <f>SUM(E60,H60,K60,N60,Q60,T60,W60,Z60,AC60,AF60,AI60,AL60)</f>
        <v>2400</v>
      </c>
      <c r="B60" s="506" t="s">
        <v>639</v>
      </c>
      <c r="C60" s="541"/>
      <c r="D60" s="542"/>
      <c r="E60" s="518">
        <v>200</v>
      </c>
      <c r="F60" s="543"/>
      <c r="G60" s="542"/>
      <c r="H60" s="518">
        <v>200</v>
      </c>
      <c r="I60" s="543"/>
      <c r="J60" s="542"/>
      <c r="K60" s="518">
        <v>200</v>
      </c>
      <c r="L60" s="543"/>
      <c r="M60" s="542"/>
      <c r="N60" s="518">
        <v>200</v>
      </c>
      <c r="O60" s="543"/>
      <c r="P60" s="542"/>
      <c r="Q60" s="518">
        <v>200</v>
      </c>
      <c r="R60" s="543"/>
      <c r="S60" s="542"/>
      <c r="T60" s="518">
        <v>200</v>
      </c>
      <c r="U60" s="543"/>
      <c r="V60" s="542"/>
      <c r="W60" s="518">
        <v>200</v>
      </c>
      <c r="X60" s="543"/>
      <c r="Y60" s="542"/>
      <c r="Z60" s="518">
        <v>200</v>
      </c>
      <c r="AA60" s="543"/>
      <c r="AB60" s="542"/>
      <c r="AC60" s="518">
        <v>200</v>
      </c>
      <c r="AD60" s="543"/>
      <c r="AE60" s="542"/>
      <c r="AF60" s="518">
        <v>200</v>
      </c>
      <c r="AG60" s="543"/>
      <c r="AH60" s="542"/>
      <c r="AI60" s="518">
        <v>200</v>
      </c>
      <c r="AJ60" s="543"/>
      <c r="AK60" s="542"/>
      <c r="AL60" s="518">
        <v>200</v>
      </c>
    </row>
    <row r="61" spans="1:41" x14ac:dyDescent="0.35">
      <c r="A61" s="471">
        <f t="shared" ref="A61:A75" si="4">SUM(E61,H61,K61,N61,Q61,T61,W61,Z61,AC61,AF61,AI61,AL61)</f>
        <v>0</v>
      </c>
      <c r="B61" s="506" t="s">
        <v>640</v>
      </c>
      <c r="C61" s="541"/>
      <c r="D61" s="542"/>
      <c r="E61" s="518"/>
      <c r="F61" s="543"/>
      <c r="G61" s="542"/>
      <c r="H61" s="518"/>
      <c r="I61" s="543"/>
      <c r="J61" s="542"/>
      <c r="K61" s="518"/>
      <c r="L61" s="543"/>
      <c r="M61" s="542"/>
      <c r="N61" s="518"/>
      <c r="O61" s="543"/>
      <c r="P61" s="542"/>
      <c r="Q61" s="518"/>
      <c r="R61" s="543"/>
      <c r="S61" s="542"/>
      <c r="T61" s="518"/>
      <c r="U61" s="543"/>
      <c r="V61" s="542"/>
      <c r="W61" s="518"/>
      <c r="X61" s="543"/>
      <c r="Y61" s="542"/>
      <c r="Z61" s="518"/>
      <c r="AA61" s="543"/>
      <c r="AB61" s="542"/>
      <c r="AC61" s="518"/>
      <c r="AD61" s="543"/>
      <c r="AE61" s="542"/>
      <c r="AF61" s="518"/>
      <c r="AG61" s="543"/>
      <c r="AH61" s="542"/>
      <c r="AI61" s="518"/>
      <c r="AJ61" s="543"/>
      <c r="AK61" s="542"/>
      <c r="AL61" s="518"/>
    </row>
    <row r="62" spans="1:41" x14ac:dyDescent="0.35">
      <c r="A62" s="471">
        <f t="shared" si="4"/>
        <v>0</v>
      </c>
      <c r="B62" s="506" t="s">
        <v>641</v>
      </c>
      <c r="C62" s="541"/>
      <c r="D62" s="542"/>
      <c r="E62" s="518"/>
      <c r="F62" s="543"/>
      <c r="G62" s="542"/>
      <c r="H62" s="518"/>
      <c r="I62" s="543"/>
      <c r="J62" s="542"/>
      <c r="K62" s="518"/>
      <c r="L62" s="543"/>
      <c r="M62" s="542"/>
      <c r="N62" s="518"/>
      <c r="O62" s="543"/>
      <c r="P62" s="542"/>
      <c r="Q62" s="518"/>
      <c r="R62" s="543"/>
      <c r="S62" s="542"/>
      <c r="T62" s="518"/>
      <c r="U62" s="543"/>
      <c r="V62" s="542"/>
      <c r="W62" s="518"/>
      <c r="X62" s="543"/>
      <c r="Y62" s="542"/>
      <c r="Z62" s="518"/>
      <c r="AA62" s="543"/>
      <c r="AB62" s="542"/>
      <c r="AC62" s="518"/>
      <c r="AD62" s="543"/>
      <c r="AE62" s="542"/>
      <c r="AF62" s="518"/>
      <c r="AG62" s="543"/>
      <c r="AH62" s="542"/>
      <c r="AI62" s="518"/>
      <c r="AJ62" s="543"/>
      <c r="AK62" s="542"/>
      <c r="AL62" s="518"/>
    </row>
    <row r="63" spans="1:41" x14ac:dyDescent="0.35">
      <c r="A63" s="471">
        <f t="shared" si="4"/>
        <v>7200</v>
      </c>
      <c r="B63" s="506" t="s">
        <v>642</v>
      </c>
      <c r="C63" s="541"/>
      <c r="D63" s="542"/>
      <c r="E63" s="518">
        <v>600</v>
      </c>
      <c r="F63" s="543"/>
      <c r="G63" s="542"/>
      <c r="H63" s="518">
        <f>E63</f>
        <v>600</v>
      </c>
      <c r="I63" s="543"/>
      <c r="J63" s="542"/>
      <c r="K63" s="518">
        <f>H63</f>
        <v>600</v>
      </c>
      <c r="L63" s="543"/>
      <c r="M63" s="542"/>
      <c r="N63" s="518">
        <f>K63</f>
        <v>600</v>
      </c>
      <c r="O63" s="543"/>
      <c r="P63" s="542"/>
      <c r="Q63" s="518">
        <f>N63</f>
        <v>600</v>
      </c>
      <c r="R63" s="543"/>
      <c r="S63" s="542"/>
      <c r="T63" s="518">
        <f>Q63</f>
        <v>600</v>
      </c>
      <c r="U63" s="543"/>
      <c r="V63" s="542"/>
      <c r="W63" s="518">
        <f>T63</f>
        <v>600</v>
      </c>
      <c r="X63" s="543"/>
      <c r="Y63" s="542"/>
      <c r="Z63" s="518">
        <f>W63</f>
        <v>600</v>
      </c>
      <c r="AA63" s="543"/>
      <c r="AB63" s="542"/>
      <c r="AC63" s="518">
        <f>Z63</f>
        <v>600</v>
      </c>
      <c r="AD63" s="543"/>
      <c r="AE63" s="542"/>
      <c r="AF63" s="518">
        <f>AC63</f>
        <v>600</v>
      </c>
      <c r="AG63" s="543"/>
      <c r="AH63" s="542"/>
      <c r="AI63" s="518">
        <f>AF63</f>
        <v>600</v>
      </c>
      <c r="AJ63" s="543"/>
      <c r="AK63" s="542"/>
      <c r="AL63" s="518">
        <f>AI63</f>
        <v>600</v>
      </c>
    </row>
    <row r="64" spans="1:41" x14ac:dyDescent="0.35">
      <c r="A64" s="471">
        <f t="shared" si="4"/>
        <v>5000</v>
      </c>
      <c r="B64" s="506" t="s">
        <v>643</v>
      </c>
      <c r="C64" s="541"/>
      <c r="D64" s="542"/>
      <c r="E64" s="518">
        <f>(3000+2000)/12</f>
        <v>416.66666666666669</v>
      </c>
      <c r="F64" s="543"/>
      <c r="G64" s="542"/>
      <c r="H64" s="518">
        <f>$E64</f>
        <v>416.66666666666669</v>
      </c>
      <c r="I64" s="543"/>
      <c r="J64" s="542"/>
      <c r="K64" s="518">
        <f>$E64</f>
        <v>416.66666666666669</v>
      </c>
      <c r="L64" s="543"/>
      <c r="M64" s="542"/>
      <c r="N64" s="518">
        <f>$E64</f>
        <v>416.66666666666669</v>
      </c>
      <c r="O64" s="543"/>
      <c r="P64" s="542"/>
      <c r="Q64" s="518">
        <f>$E64</f>
        <v>416.66666666666669</v>
      </c>
      <c r="R64" s="543"/>
      <c r="S64" s="542"/>
      <c r="T64" s="518">
        <f>$E64</f>
        <v>416.66666666666669</v>
      </c>
      <c r="U64" s="543"/>
      <c r="V64" s="542"/>
      <c r="W64" s="518">
        <f>$E64</f>
        <v>416.66666666666669</v>
      </c>
      <c r="X64" s="543"/>
      <c r="Y64" s="542"/>
      <c r="Z64" s="518">
        <f>$E64</f>
        <v>416.66666666666669</v>
      </c>
      <c r="AA64" s="543"/>
      <c r="AB64" s="542"/>
      <c r="AC64" s="518">
        <f>$E64</f>
        <v>416.66666666666669</v>
      </c>
      <c r="AD64" s="543"/>
      <c r="AE64" s="542"/>
      <c r="AF64" s="518">
        <f>$E64</f>
        <v>416.66666666666669</v>
      </c>
      <c r="AG64" s="543"/>
      <c r="AH64" s="542"/>
      <c r="AI64" s="518">
        <f>$E64</f>
        <v>416.66666666666669</v>
      </c>
      <c r="AJ64" s="543"/>
      <c r="AK64" s="542"/>
      <c r="AL64" s="518">
        <f>$E64</f>
        <v>416.66666666666669</v>
      </c>
    </row>
    <row r="65" spans="1:38" x14ac:dyDescent="0.35">
      <c r="A65" s="471">
        <f t="shared" si="4"/>
        <v>6000</v>
      </c>
      <c r="B65" s="506" t="s">
        <v>644</v>
      </c>
      <c r="C65" s="541"/>
      <c r="D65" s="542"/>
      <c r="E65" s="518">
        <v>500</v>
      </c>
      <c r="F65" s="543"/>
      <c r="G65" s="542"/>
      <c r="H65" s="518">
        <v>500</v>
      </c>
      <c r="I65" s="543"/>
      <c r="J65" s="542"/>
      <c r="K65" s="518">
        <v>500</v>
      </c>
      <c r="L65" s="543"/>
      <c r="M65" s="542"/>
      <c r="N65" s="518">
        <v>500</v>
      </c>
      <c r="O65" s="543"/>
      <c r="P65" s="542"/>
      <c r="Q65" s="518">
        <v>500</v>
      </c>
      <c r="R65" s="543"/>
      <c r="S65" s="542"/>
      <c r="T65" s="518">
        <v>500</v>
      </c>
      <c r="U65" s="543"/>
      <c r="V65" s="542"/>
      <c r="W65" s="518">
        <v>500</v>
      </c>
      <c r="X65" s="543"/>
      <c r="Y65" s="542"/>
      <c r="Z65" s="518">
        <v>500</v>
      </c>
      <c r="AA65" s="543"/>
      <c r="AB65" s="542"/>
      <c r="AC65" s="518">
        <v>500</v>
      </c>
      <c r="AD65" s="543"/>
      <c r="AE65" s="542"/>
      <c r="AF65" s="518">
        <v>500</v>
      </c>
      <c r="AG65" s="543"/>
      <c r="AH65" s="542"/>
      <c r="AI65" s="518">
        <v>500</v>
      </c>
      <c r="AJ65" s="543"/>
      <c r="AK65" s="542"/>
      <c r="AL65" s="518">
        <v>500</v>
      </c>
    </row>
    <row r="66" spans="1:38" x14ac:dyDescent="0.35">
      <c r="A66" s="471">
        <f t="shared" si="4"/>
        <v>9000</v>
      </c>
      <c r="B66" s="506" t="s">
        <v>658</v>
      </c>
      <c r="C66" s="541"/>
      <c r="D66" s="542"/>
      <c r="E66" s="518">
        <v>750</v>
      </c>
      <c r="F66" s="543"/>
      <c r="G66" s="542"/>
      <c r="H66" s="518">
        <f>E66</f>
        <v>750</v>
      </c>
      <c r="I66" s="543"/>
      <c r="J66" s="542"/>
      <c r="K66" s="518">
        <f>H66</f>
        <v>750</v>
      </c>
      <c r="L66" s="543"/>
      <c r="M66" s="542"/>
      <c r="N66" s="518">
        <f>K66</f>
        <v>750</v>
      </c>
      <c r="O66" s="543"/>
      <c r="P66" s="542"/>
      <c r="Q66" s="518">
        <f>N66</f>
        <v>750</v>
      </c>
      <c r="R66" s="543"/>
      <c r="S66" s="542"/>
      <c r="T66" s="518">
        <f>Q66</f>
        <v>750</v>
      </c>
      <c r="U66" s="543"/>
      <c r="V66" s="542"/>
      <c r="W66" s="518">
        <f>T66</f>
        <v>750</v>
      </c>
      <c r="X66" s="543"/>
      <c r="Y66" s="542"/>
      <c r="Z66" s="518">
        <f>W66</f>
        <v>750</v>
      </c>
      <c r="AA66" s="543"/>
      <c r="AB66" s="542"/>
      <c r="AC66" s="518">
        <f>Z66</f>
        <v>750</v>
      </c>
      <c r="AD66" s="543"/>
      <c r="AE66" s="542"/>
      <c r="AF66" s="518">
        <f>AC66</f>
        <v>750</v>
      </c>
      <c r="AG66" s="543"/>
      <c r="AH66" s="542"/>
      <c r="AI66" s="518">
        <f>AF66</f>
        <v>750</v>
      </c>
      <c r="AJ66" s="543"/>
      <c r="AK66" s="542"/>
      <c r="AL66" s="518">
        <f>AI66</f>
        <v>750</v>
      </c>
    </row>
    <row r="67" spans="1:38" x14ac:dyDescent="0.35">
      <c r="A67" s="471">
        <f t="shared" si="4"/>
        <v>3050</v>
      </c>
      <c r="B67" s="506" t="s">
        <v>657</v>
      </c>
      <c r="C67" s="541"/>
      <c r="D67" s="542"/>
      <c r="E67" s="518">
        <f>1000+1000+250</f>
        <v>2250</v>
      </c>
      <c r="F67" s="543"/>
      <c r="G67" s="542"/>
      <c r="H67" s="518"/>
      <c r="I67" s="543"/>
      <c r="J67" s="542"/>
      <c r="K67" s="518">
        <v>200</v>
      </c>
      <c r="L67" s="543"/>
      <c r="M67" s="542"/>
      <c r="N67" s="518"/>
      <c r="O67" s="543"/>
      <c r="P67" s="542"/>
      <c r="Q67" s="518"/>
      <c r="R67" s="543"/>
      <c r="S67" s="542"/>
      <c r="T67" s="518">
        <v>200</v>
      </c>
      <c r="U67" s="543"/>
      <c r="V67" s="542"/>
      <c r="W67" s="518"/>
      <c r="X67" s="543"/>
      <c r="Y67" s="542"/>
      <c r="Z67" s="518"/>
      <c r="AA67" s="543"/>
      <c r="AB67" s="542"/>
      <c r="AC67" s="518">
        <v>200</v>
      </c>
      <c r="AD67" s="543"/>
      <c r="AE67" s="542"/>
      <c r="AF67" s="518"/>
      <c r="AG67" s="543"/>
      <c r="AH67" s="542"/>
      <c r="AI67" s="518"/>
      <c r="AJ67" s="543"/>
      <c r="AK67" s="542"/>
      <c r="AL67" s="518">
        <v>200</v>
      </c>
    </row>
    <row r="68" spans="1:38" x14ac:dyDescent="0.35">
      <c r="A68" s="471">
        <f t="shared" si="4"/>
        <v>1200</v>
      </c>
      <c r="B68" s="506" t="s">
        <v>645</v>
      </c>
      <c r="C68" s="541"/>
      <c r="D68" s="542"/>
      <c r="E68" s="518">
        <v>100</v>
      </c>
      <c r="F68" s="543"/>
      <c r="G68" s="542"/>
      <c r="H68" s="518">
        <v>100</v>
      </c>
      <c r="I68" s="543"/>
      <c r="J68" s="542"/>
      <c r="K68" s="518">
        <v>100</v>
      </c>
      <c r="L68" s="543"/>
      <c r="M68" s="542"/>
      <c r="N68" s="518">
        <v>100</v>
      </c>
      <c r="O68" s="543"/>
      <c r="P68" s="542"/>
      <c r="Q68" s="518">
        <v>100</v>
      </c>
      <c r="R68" s="543"/>
      <c r="S68" s="542"/>
      <c r="T68" s="518">
        <v>100</v>
      </c>
      <c r="U68" s="543"/>
      <c r="V68" s="542"/>
      <c r="W68" s="518">
        <v>100</v>
      </c>
      <c r="X68" s="543"/>
      <c r="Y68" s="542"/>
      <c r="Z68" s="518">
        <v>100</v>
      </c>
      <c r="AA68" s="543"/>
      <c r="AB68" s="542"/>
      <c r="AC68" s="518">
        <v>100</v>
      </c>
      <c r="AD68" s="543"/>
      <c r="AE68" s="542"/>
      <c r="AF68" s="518">
        <v>100</v>
      </c>
      <c r="AG68" s="543"/>
      <c r="AH68" s="542"/>
      <c r="AI68" s="518">
        <v>100</v>
      </c>
      <c r="AJ68" s="543"/>
      <c r="AK68" s="542"/>
      <c r="AL68" s="518">
        <v>100</v>
      </c>
    </row>
    <row r="69" spans="1:38" x14ac:dyDescent="0.35">
      <c r="A69" s="471">
        <f t="shared" si="4"/>
        <v>0</v>
      </c>
      <c r="B69" s="506" t="s">
        <v>646</v>
      </c>
      <c r="C69" s="541"/>
      <c r="D69" s="542"/>
      <c r="E69" s="518"/>
      <c r="F69" s="543"/>
      <c r="G69" s="542"/>
      <c r="H69" s="518"/>
      <c r="I69" s="543"/>
      <c r="J69" s="542"/>
      <c r="K69" s="518"/>
      <c r="L69" s="543"/>
      <c r="M69" s="542"/>
      <c r="N69" s="518"/>
      <c r="O69" s="543"/>
      <c r="P69" s="542"/>
      <c r="Q69" s="518"/>
      <c r="R69" s="543"/>
      <c r="S69" s="542"/>
      <c r="T69" s="518"/>
      <c r="U69" s="543"/>
      <c r="V69" s="542"/>
      <c r="W69" s="518"/>
      <c r="X69" s="543"/>
      <c r="Y69" s="542"/>
      <c r="Z69" s="518"/>
      <c r="AA69" s="543"/>
      <c r="AB69" s="542"/>
      <c r="AC69" s="518"/>
      <c r="AD69" s="543"/>
      <c r="AE69" s="542"/>
      <c r="AF69" s="518"/>
      <c r="AG69" s="543"/>
      <c r="AH69" s="542"/>
      <c r="AI69" s="518"/>
      <c r="AJ69" s="543"/>
      <c r="AK69" s="542"/>
      <c r="AL69" s="518"/>
    </row>
    <row r="70" spans="1:38" x14ac:dyDescent="0.35">
      <c r="A70" s="471">
        <f t="shared" si="4"/>
        <v>0</v>
      </c>
      <c r="B70" s="506" t="s">
        <v>647</v>
      </c>
      <c r="C70" s="541"/>
      <c r="D70" s="542"/>
      <c r="E70" s="518"/>
      <c r="F70" s="543"/>
      <c r="G70" s="542"/>
      <c r="H70" s="518"/>
      <c r="I70" s="543"/>
      <c r="J70" s="542"/>
      <c r="K70" s="518"/>
      <c r="L70" s="543"/>
      <c r="M70" s="542"/>
      <c r="N70" s="518"/>
      <c r="O70" s="543"/>
      <c r="P70" s="542"/>
      <c r="Q70" s="518"/>
      <c r="R70" s="543"/>
      <c r="S70" s="542"/>
      <c r="T70" s="518"/>
      <c r="U70" s="543"/>
      <c r="V70" s="542"/>
      <c r="W70" s="518"/>
      <c r="X70" s="543"/>
      <c r="Y70" s="542"/>
      <c r="Z70" s="518"/>
      <c r="AA70" s="543"/>
      <c r="AB70" s="542"/>
      <c r="AC70" s="518"/>
      <c r="AD70" s="543"/>
      <c r="AE70" s="542"/>
      <c r="AF70" s="518"/>
      <c r="AG70" s="543"/>
      <c r="AH70" s="542"/>
      <c r="AI70" s="518"/>
      <c r="AJ70" s="543"/>
      <c r="AK70" s="542"/>
      <c r="AL70" s="518"/>
    </row>
    <row r="71" spans="1:38" x14ac:dyDescent="0.35">
      <c r="A71" s="471">
        <f t="shared" si="4"/>
        <v>2400</v>
      </c>
      <c r="B71" s="506" t="s">
        <v>648</v>
      </c>
      <c r="C71" s="541"/>
      <c r="D71" s="542"/>
      <c r="E71" s="518">
        <v>200</v>
      </c>
      <c r="F71" s="543"/>
      <c r="G71" s="542"/>
      <c r="H71" s="518">
        <v>200</v>
      </c>
      <c r="I71" s="543"/>
      <c r="J71" s="542"/>
      <c r="K71" s="518">
        <v>200</v>
      </c>
      <c r="L71" s="543"/>
      <c r="M71" s="542"/>
      <c r="N71" s="518">
        <v>200</v>
      </c>
      <c r="O71" s="543"/>
      <c r="P71" s="542"/>
      <c r="Q71" s="518">
        <v>200</v>
      </c>
      <c r="R71" s="543"/>
      <c r="S71" s="542"/>
      <c r="T71" s="518">
        <v>200</v>
      </c>
      <c r="U71" s="543"/>
      <c r="V71" s="542"/>
      <c r="W71" s="518">
        <v>200</v>
      </c>
      <c r="X71" s="543"/>
      <c r="Y71" s="542"/>
      <c r="Z71" s="518">
        <v>200</v>
      </c>
      <c r="AA71" s="543"/>
      <c r="AB71" s="542"/>
      <c r="AC71" s="518">
        <v>200</v>
      </c>
      <c r="AD71" s="543"/>
      <c r="AE71" s="542"/>
      <c r="AF71" s="518">
        <v>200</v>
      </c>
      <c r="AG71" s="543"/>
      <c r="AH71" s="542"/>
      <c r="AI71" s="518">
        <v>200</v>
      </c>
      <c r="AJ71" s="543"/>
      <c r="AK71" s="542"/>
      <c r="AL71" s="518">
        <v>200</v>
      </c>
    </row>
    <row r="72" spans="1:38" x14ac:dyDescent="0.35">
      <c r="A72" s="471">
        <f t="shared" si="4"/>
        <v>3600</v>
      </c>
      <c r="B72" s="506" t="s">
        <v>649</v>
      </c>
      <c r="C72" s="541"/>
      <c r="D72" s="542"/>
      <c r="E72" s="518">
        <v>300</v>
      </c>
      <c r="F72" s="543"/>
      <c r="G72" s="542"/>
      <c r="H72" s="518">
        <v>300</v>
      </c>
      <c r="I72" s="543"/>
      <c r="J72" s="542"/>
      <c r="K72" s="518">
        <v>300</v>
      </c>
      <c r="L72" s="543"/>
      <c r="M72" s="542"/>
      <c r="N72" s="518">
        <v>300</v>
      </c>
      <c r="O72" s="543"/>
      <c r="P72" s="542"/>
      <c r="Q72" s="518">
        <v>300</v>
      </c>
      <c r="R72" s="543"/>
      <c r="S72" s="542"/>
      <c r="T72" s="518">
        <v>300</v>
      </c>
      <c r="U72" s="543"/>
      <c r="V72" s="542"/>
      <c r="W72" s="518">
        <v>300</v>
      </c>
      <c r="X72" s="543"/>
      <c r="Y72" s="542"/>
      <c r="Z72" s="518">
        <v>300</v>
      </c>
      <c r="AA72" s="543"/>
      <c r="AB72" s="542"/>
      <c r="AC72" s="518">
        <v>300</v>
      </c>
      <c r="AD72" s="543"/>
      <c r="AE72" s="542"/>
      <c r="AF72" s="518">
        <v>300</v>
      </c>
      <c r="AG72" s="543"/>
      <c r="AH72" s="542"/>
      <c r="AI72" s="518">
        <v>300</v>
      </c>
      <c r="AJ72" s="543"/>
      <c r="AK72" s="542"/>
      <c r="AL72" s="518">
        <v>300</v>
      </c>
    </row>
    <row r="73" spans="1:38" x14ac:dyDescent="0.35">
      <c r="A73" s="471">
        <f t="shared" si="4"/>
        <v>0</v>
      </c>
      <c r="B73" s="506" t="s">
        <v>650</v>
      </c>
      <c r="C73" s="541"/>
      <c r="D73" s="542"/>
      <c r="E73" s="518"/>
      <c r="F73" s="543"/>
      <c r="G73" s="542"/>
      <c r="H73" s="518"/>
      <c r="I73" s="543"/>
      <c r="J73" s="542"/>
      <c r="K73" s="518"/>
      <c r="L73" s="543"/>
      <c r="M73" s="542"/>
      <c r="N73" s="518"/>
      <c r="O73" s="543"/>
      <c r="P73" s="542"/>
      <c r="Q73" s="518"/>
      <c r="R73" s="543"/>
      <c r="S73" s="542"/>
      <c r="T73" s="518"/>
      <c r="U73" s="543"/>
      <c r="V73" s="542"/>
      <c r="W73" s="518"/>
      <c r="X73" s="543"/>
      <c r="Y73" s="542"/>
      <c r="Z73" s="518"/>
      <c r="AA73" s="543"/>
      <c r="AB73" s="542"/>
      <c r="AC73" s="518"/>
      <c r="AD73" s="543"/>
      <c r="AE73" s="542"/>
      <c r="AF73" s="518"/>
      <c r="AG73" s="543"/>
      <c r="AH73" s="542"/>
      <c r="AI73" s="518"/>
      <c r="AJ73" s="543"/>
      <c r="AK73" s="542"/>
      <c r="AL73" s="518"/>
    </row>
    <row r="74" spans="1:38" x14ac:dyDescent="0.35">
      <c r="A74" s="471">
        <f t="shared" si="4"/>
        <v>12900</v>
      </c>
      <c r="B74" s="506" t="s">
        <v>651</v>
      </c>
      <c r="C74" s="541"/>
      <c r="D74" s="542"/>
      <c r="E74" s="518">
        <f>(150+250)+(1350*0.5)</f>
        <v>1075</v>
      </c>
      <c r="F74" s="543"/>
      <c r="G74" s="542"/>
      <c r="H74" s="518">
        <f>E74</f>
        <v>1075</v>
      </c>
      <c r="I74" s="543"/>
      <c r="J74" s="542"/>
      <c r="K74" s="518">
        <f>H74</f>
        <v>1075</v>
      </c>
      <c r="L74" s="543"/>
      <c r="M74" s="542"/>
      <c r="N74" s="518">
        <f>K74</f>
        <v>1075</v>
      </c>
      <c r="O74" s="543"/>
      <c r="P74" s="542"/>
      <c r="Q74" s="518">
        <f>N74</f>
        <v>1075</v>
      </c>
      <c r="R74" s="543"/>
      <c r="S74" s="542"/>
      <c r="T74" s="518">
        <f>Q74</f>
        <v>1075</v>
      </c>
      <c r="U74" s="543"/>
      <c r="V74" s="542"/>
      <c r="W74" s="518">
        <f>T74</f>
        <v>1075</v>
      </c>
      <c r="X74" s="543"/>
      <c r="Y74" s="542"/>
      <c r="Z74" s="518">
        <f>W74</f>
        <v>1075</v>
      </c>
      <c r="AA74" s="543"/>
      <c r="AB74" s="542"/>
      <c r="AC74" s="518">
        <f>Z74</f>
        <v>1075</v>
      </c>
      <c r="AD74" s="543"/>
      <c r="AE74" s="542"/>
      <c r="AF74" s="518">
        <f>AC74</f>
        <v>1075</v>
      </c>
      <c r="AG74" s="543"/>
      <c r="AH74" s="542"/>
      <c r="AI74" s="518">
        <f>AF74</f>
        <v>1075</v>
      </c>
      <c r="AJ74" s="543"/>
      <c r="AK74" s="542"/>
      <c r="AL74" s="518">
        <f>AI74</f>
        <v>1075</v>
      </c>
    </row>
    <row r="75" spans="1:38" x14ac:dyDescent="0.35">
      <c r="A75" s="471">
        <f t="shared" si="4"/>
        <v>6000</v>
      </c>
      <c r="B75" s="506" t="s">
        <v>652</v>
      </c>
      <c r="C75" s="541"/>
      <c r="D75" s="542"/>
      <c r="E75" s="518">
        <v>500</v>
      </c>
      <c r="F75" s="543"/>
      <c r="G75" s="542"/>
      <c r="H75" s="518">
        <v>500</v>
      </c>
      <c r="I75" s="543"/>
      <c r="J75" s="542"/>
      <c r="K75" s="518">
        <v>500</v>
      </c>
      <c r="L75" s="543"/>
      <c r="M75" s="542"/>
      <c r="N75" s="518">
        <v>500</v>
      </c>
      <c r="O75" s="543"/>
      <c r="P75" s="542"/>
      <c r="Q75" s="518">
        <v>500</v>
      </c>
      <c r="R75" s="543"/>
      <c r="S75" s="542"/>
      <c r="T75" s="518">
        <v>500</v>
      </c>
      <c r="U75" s="543"/>
      <c r="V75" s="542"/>
      <c r="W75" s="518">
        <v>500</v>
      </c>
      <c r="X75" s="543"/>
      <c r="Y75" s="542"/>
      <c r="Z75" s="518">
        <v>500</v>
      </c>
      <c r="AA75" s="543"/>
      <c r="AB75" s="542"/>
      <c r="AC75" s="518">
        <v>500</v>
      </c>
      <c r="AD75" s="543"/>
      <c r="AE75" s="542"/>
      <c r="AF75" s="518">
        <v>500</v>
      </c>
      <c r="AG75" s="543"/>
      <c r="AH75" s="542"/>
      <c r="AI75" s="518">
        <v>500</v>
      </c>
      <c r="AJ75" s="543"/>
      <c r="AK75" s="542"/>
      <c r="AL75" s="518">
        <v>500</v>
      </c>
    </row>
    <row r="76" spans="1:38" x14ac:dyDescent="0.35">
      <c r="A76" s="471"/>
      <c r="B76" s="506" t="s">
        <v>655</v>
      </c>
      <c r="C76" s="541"/>
      <c r="D76" s="542"/>
      <c r="E76" s="518"/>
      <c r="F76" s="543"/>
      <c r="G76" s="542"/>
      <c r="H76" s="518"/>
      <c r="I76" s="543"/>
      <c r="J76" s="542"/>
      <c r="K76" s="518"/>
      <c r="L76" s="543"/>
      <c r="M76" s="542"/>
      <c r="N76" s="518"/>
      <c r="O76" s="543"/>
      <c r="P76" s="542"/>
      <c r="Q76" s="518"/>
      <c r="R76" s="543"/>
      <c r="S76" s="542"/>
      <c r="T76" s="518"/>
      <c r="U76" s="543"/>
      <c r="V76" s="542"/>
      <c r="W76" s="518"/>
      <c r="X76" s="543"/>
      <c r="Y76" s="542"/>
      <c r="Z76" s="518"/>
      <c r="AA76" s="543"/>
      <c r="AB76" s="542"/>
      <c r="AC76" s="518"/>
      <c r="AD76" s="543"/>
      <c r="AE76" s="542"/>
      <c r="AF76" s="518"/>
      <c r="AG76" s="543"/>
      <c r="AH76" s="542"/>
      <c r="AI76" s="518"/>
      <c r="AJ76" s="543"/>
      <c r="AK76" s="542"/>
      <c r="AL76" s="518"/>
    </row>
    <row r="77" spans="1:38" x14ac:dyDescent="0.35">
      <c r="A77" s="471"/>
      <c r="B77" s="506" t="s">
        <v>656</v>
      </c>
      <c r="C77" s="541"/>
      <c r="D77" s="542"/>
      <c r="E77" s="518"/>
      <c r="F77" s="543"/>
      <c r="G77" s="542"/>
      <c r="H77" s="518"/>
      <c r="I77" s="543"/>
      <c r="J77" s="542"/>
      <c r="K77" s="518"/>
      <c r="L77" s="543"/>
      <c r="M77" s="542"/>
      <c r="N77" s="518"/>
      <c r="O77" s="543"/>
      <c r="P77" s="542"/>
      <c r="Q77" s="518"/>
      <c r="R77" s="543"/>
      <c r="S77" s="542"/>
      <c r="T77" s="518"/>
      <c r="U77" s="543"/>
      <c r="V77" s="542"/>
      <c r="W77" s="518"/>
      <c r="X77" s="543"/>
      <c r="Y77" s="542"/>
      <c r="Z77" s="518"/>
      <c r="AA77" s="543"/>
      <c r="AB77" s="542"/>
      <c r="AC77" s="518"/>
      <c r="AD77" s="543"/>
      <c r="AE77" s="542"/>
      <c r="AF77" s="518"/>
      <c r="AG77" s="543"/>
      <c r="AH77" s="542"/>
      <c r="AI77" s="518"/>
      <c r="AJ77" s="543"/>
      <c r="AK77" s="542"/>
      <c r="AL77" s="518"/>
    </row>
    <row r="78" spans="1:38" s="110" customFormat="1" x14ac:dyDescent="0.35">
      <c r="A78" s="469">
        <f>SUM(E78,H78,K78,N78,Q78,T78,W78,Z78,AC78,AF78,AI78,AL78)</f>
        <v>58749.999999999993</v>
      </c>
      <c r="B78" s="509" t="s">
        <v>691</v>
      </c>
      <c r="C78" s="539"/>
      <c r="D78" s="540"/>
      <c r="E78" s="510">
        <f>SUM(E60:E77)</f>
        <v>6891.666666666667</v>
      </c>
      <c r="F78" s="549"/>
      <c r="G78" s="540"/>
      <c r="H78" s="510">
        <f>SUM(H60:H77)</f>
        <v>4641.666666666667</v>
      </c>
      <c r="I78" s="549"/>
      <c r="J78" s="540"/>
      <c r="K78" s="510">
        <f>SUM(K60:K77)</f>
        <v>4841.666666666667</v>
      </c>
      <c r="L78" s="549"/>
      <c r="M78" s="540"/>
      <c r="N78" s="510">
        <f>SUM(N60:N77)</f>
        <v>4641.666666666667</v>
      </c>
      <c r="O78" s="549"/>
      <c r="P78" s="540"/>
      <c r="Q78" s="510">
        <f>SUM(Q60:Q77)</f>
        <v>4641.666666666667</v>
      </c>
      <c r="R78" s="549"/>
      <c r="S78" s="540"/>
      <c r="T78" s="510">
        <f>SUM(T60:T77)</f>
        <v>4841.666666666667</v>
      </c>
      <c r="U78" s="549"/>
      <c r="V78" s="540"/>
      <c r="W78" s="510">
        <f>SUM(W60:W77)</f>
        <v>4641.666666666667</v>
      </c>
      <c r="X78" s="549"/>
      <c r="Y78" s="540"/>
      <c r="Z78" s="510">
        <f>SUM(Z60:Z77)</f>
        <v>4641.666666666667</v>
      </c>
      <c r="AA78" s="549"/>
      <c r="AB78" s="540"/>
      <c r="AC78" s="510">
        <f>SUM(AC60:AC77)</f>
        <v>4841.666666666667</v>
      </c>
      <c r="AD78" s="549"/>
      <c r="AE78" s="540"/>
      <c r="AF78" s="510">
        <f>SUM(AF60:AF77)</f>
        <v>4641.666666666667</v>
      </c>
      <c r="AG78" s="549"/>
      <c r="AH78" s="540"/>
      <c r="AI78" s="510">
        <f>SUM(AI60:AI77)</f>
        <v>4641.666666666667</v>
      </c>
      <c r="AJ78" s="549"/>
      <c r="AK78" s="540"/>
      <c r="AL78" s="510">
        <f>SUM(AL60:AL77)</f>
        <v>4841.666666666667</v>
      </c>
    </row>
    <row r="80" spans="1:38" x14ac:dyDescent="0.35">
      <c r="A80" s="469">
        <f>SUM(E80,H80,K80,N80,Q80,T80,W80,Z80,AC80,AF80,AI80,AL80)</f>
        <v>21898.976000000002</v>
      </c>
      <c r="B80" s="509" t="s">
        <v>660</v>
      </c>
      <c r="C80" s="539"/>
      <c r="D80" s="540"/>
      <c r="E80" s="510">
        <f>E47</f>
        <v>1424.9146666666666</v>
      </c>
      <c r="F80" s="539"/>
      <c r="G80" s="540"/>
      <c r="H80" s="510">
        <f>H47</f>
        <v>1424.9146666666666</v>
      </c>
      <c r="I80" s="539"/>
      <c r="J80" s="540"/>
      <c r="K80" s="510">
        <f>K47</f>
        <v>1424.9146666666666</v>
      </c>
      <c r="L80" s="539"/>
      <c r="M80" s="540"/>
      <c r="N80" s="510">
        <f>N47</f>
        <v>1424.9146666666666</v>
      </c>
      <c r="O80" s="539"/>
      <c r="P80" s="540"/>
      <c r="Q80" s="510">
        <f>Q47</f>
        <v>1424.9146666666666</v>
      </c>
      <c r="R80" s="539"/>
      <c r="S80" s="540"/>
      <c r="T80" s="510">
        <f>T47</f>
        <v>1904.9146666666666</v>
      </c>
      <c r="U80" s="539"/>
      <c r="V80" s="540"/>
      <c r="W80" s="510">
        <f>W47</f>
        <v>2192.9146666666666</v>
      </c>
      <c r="X80" s="539"/>
      <c r="Y80" s="540"/>
      <c r="Z80" s="510">
        <f>Z47</f>
        <v>2192.9146666666666</v>
      </c>
      <c r="AA80" s="539"/>
      <c r="AB80" s="540"/>
      <c r="AC80" s="510">
        <f>AC47</f>
        <v>2192.9146666666666</v>
      </c>
      <c r="AD80" s="539"/>
      <c r="AE80" s="540"/>
      <c r="AF80" s="510">
        <f>AF47</f>
        <v>1904.9146666666666</v>
      </c>
      <c r="AG80" s="539"/>
      <c r="AH80" s="540"/>
      <c r="AI80" s="510">
        <f>AI47</f>
        <v>2192.9146666666666</v>
      </c>
      <c r="AJ80" s="539"/>
      <c r="AK80" s="540"/>
      <c r="AL80" s="510">
        <f>AL47</f>
        <v>2192.9146666666666</v>
      </c>
    </row>
    <row r="81" spans="1:41" x14ac:dyDescent="0.35">
      <c r="A81" s="469">
        <f>SUM(E81,H81,K81,N81,Q81,T81,W81,Z81,AC81,AF81,AI81,AL81)</f>
        <v>157366.96000000005</v>
      </c>
      <c r="B81" s="509" t="s">
        <v>659</v>
      </c>
      <c r="C81" s="539"/>
      <c r="D81" s="540"/>
      <c r="E81" s="510">
        <f>E57+E78</f>
        <v>15109.746666666666</v>
      </c>
      <c r="F81" s="539"/>
      <c r="G81" s="540"/>
      <c r="H81" s="510">
        <f>H57+H78</f>
        <v>12859.746666666666</v>
      </c>
      <c r="I81" s="539"/>
      <c r="J81" s="540"/>
      <c r="K81" s="510">
        <f>K57+K78</f>
        <v>13059.746666666666</v>
      </c>
      <c r="L81" s="539"/>
      <c r="M81" s="540"/>
      <c r="N81" s="510">
        <f>N57+N78</f>
        <v>12859.746666666666</v>
      </c>
      <c r="O81" s="539"/>
      <c r="P81" s="540"/>
      <c r="Q81" s="510">
        <f>Q57+Q78</f>
        <v>12859.746666666666</v>
      </c>
      <c r="R81" s="539"/>
      <c r="S81" s="540"/>
      <c r="T81" s="510">
        <f>T57+T78</f>
        <v>13059.746666666666</v>
      </c>
      <c r="U81" s="539"/>
      <c r="V81" s="540"/>
      <c r="W81" s="510">
        <f>W57+W78</f>
        <v>12859.746666666666</v>
      </c>
      <c r="X81" s="539"/>
      <c r="Y81" s="540"/>
      <c r="Z81" s="510">
        <f>Z57+Z78</f>
        <v>12859.746666666666</v>
      </c>
      <c r="AA81" s="539"/>
      <c r="AB81" s="540"/>
      <c r="AC81" s="510">
        <f>AC57+AC78</f>
        <v>13059.746666666666</v>
      </c>
      <c r="AD81" s="539"/>
      <c r="AE81" s="540"/>
      <c r="AF81" s="510">
        <f>AF57+AF78</f>
        <v>12859.746666666666</v>
      </c>
      <c r="AG81" s="539"/>
      <c r="AH81" s="540"/>
      <c r="AI81" s="510">
        <f>AI57+AI78</f>
        <v>12859.746666666666</v>
      </c>
      <c r="AJ81" s="539"/>
      <c r="AK81" s="540"/>
      <c r="AL81" s="510">
        <f>AL57+AL78</f>
        <v>13059.746666666666</v>
      </c>
    </row>
    <row r="82" spans="1:41" x14ac:dyDescent="0.35">
      <c r="A82" s="469">
        <f>SUM(E82,H82,K82,N82,Q82,T82,W82,Z82,AC82,AF82,AI82,AL82)</f>
        <v>-135467.98399999997</v>
      </c>
      <c r="B82" s="509" t="s">
        <v>670</v>
      </c>
      <c r="C82" s="539"/>
      <c r="D82" s="540"/>
      <c r="E82" s="510">
        <f>E80-E81</f>
        <v>-13684.831999999999</v>
      </c>
      <c r="F82" s="539"/>
      <c r="G82" s="540"/>
      <c r="H82" s="510">
        <f>H80-H81</f>
        <v>-11434.831999999999</v>
      </c>
      <c r="I82" s="539"/>
      <c r="J82" s="540"/>
      <c r="K82" s="510">
        <f>K80-K81</f>
        <v>-11634.831999999999</v>
      </c>
      <c r="L82" s="539"/>
      <c r="M82" s="540"/>
      <c r="N82" s="510">
        <f>N80-N81</f>
        <v>-11434.831999999999</v>
      </c>
      <c r="O82" s="539"/>
      <c r="P82" s="540"/>
      <c r="Q82" s="510">
        <f>Q80-Q81</f>
        <v>-11434.831999999999</v>
      </c>
      <c r="R82" s="539"/>
      <c r="S82" s="540"/>
      <c r="T82" s="510">
        <f>T80-T81</f>
        <v>-11154.831999999999</v>
      </c>
      <c r="U82" s="539"/>
      <c r="V82" s="540"/>
      <c r="W82" s="510">
        <f>W80-W81</f>
        <v>-10666.831999999999</v>
      </c>
      <c r="X82" s="539"/>
      <c r="Y82" s="540"/>
      <c r="Z82" s="510">
        <f>Z80-Z81</f>
        <v>-10666.831999999999</v>
      </c>
      <c r="AA82" s="539"/>
      <c r="AB82" s="540"/>
      <c r="AC82" s="510">
        <f>AC80-AC81</f>
        <v>-10866.831999999999</v>
      </c>
      <c r="AD82" s="539"/>
      <c r="AE82" s="540"/>
      <c r="AF82" s="510">
        <f>AF80-AF81</f>
        <v>-10954.831999999999</v>
      </c>
      <c r="AG82" s="539"/>
      <c r="AH82" s="540"/>
      <c r="AI82" s="510">
        <f>AI80-AI81</f>
        <v>-10666.831999999999</v>
      </c>
      <c r="AJ82" s="539"/>
      <c r="AK82" s="540"/>
      <c r="AL82" s="510">
        <f>AL80-AL81</f>
        <v>-10866.831999999999</v>
      </c>
    </row>
    <row r="84" spans="1:41" x14ac:dyDescent="0.35">
      <c r="A84" s="537" t="s">
        <v>523</v>
      </c>
      <c r="B84" s="537"/>
      <c r="C84" s="537"/>
      <c r="D84" s="537"/>
      <c r="E84" s="537"/>
      <c r="F84" s="537"/>
      <c r="G84" s="537"/>
      <c r="H84" s="537"/>
      <c r="I84" s="537"/>
      <c r="J84" s="537"/>
      <c r="K84" s="537"/>
      <c r="L84" s="537"/>
      <c r="M84" s="537"/>
      <c r="N84" s="537"/>
      <c r="O84" s="537"/>
      <c r="P84" s="537"/>
      <c r="Q84" s="537"/>
      <c r="R84" s="537"/>
      <c r="S84" s="537"/>
      <c r="T84" s="537"/>
      <c r="U84" s="537"/>
      <c r="V84" s="537"/>
      <c r="W84" s="537"/>
      <c r="X84" s="537"/>
      <c r="Y84" s="537"/>
      <c r="Z84" s="537"/>
      <c r="AA84" s="537"/>
      <c r="AB84" s="537"/>
      <c r="AC84" s="537"/>
      <c r="AD84" s="537"/>
      <c r="AE84" s="537"/>
      <c r="AF84" s="537"/>
      <c r="AG84" s="537"/>
      <c r="AH84" s="537"/>
      <c r="AI84" s="537"/>
      <c r="AJ84" s="537"/>
      <c r="AK84" s="537"/>
      <c r="AL84" s="538"/>
    </row>
    <row r="85" spans="1:41" x14ac:dyDescent="0.35">
      <c r="C85" s="462"/>
      <c r="D85" s="463" t="s">
        <v>510</v>
      </c>
      <c r="E85" s="464" t="s">
        <v>543</v>
      </c>
      <c r="F85" s="462"/>
      <c r="G85" s="463" t="s">
        <v>510</v>
      </c>
      <c r="H85" s="464" t="s">
        <v>544</v>
      </c>
      <c r="I85" s="462"/>
      <c r="J85" s="463" t="s">
        <v>510</v>
      </c>
      <c r="K85" s="464" t="s">
        <v>545</v>
      </c>
      <c r="L85" s="462"/>
      <c r="M85" s="463" t="s">
        <v>510</v>
      </c>
      <c r="N85" s="464" t="s">
        <v>546</v>
      </c>
      <c r="O85" s="462"/>
      <c r="P85" s="463" t="s">
        <v>510</v>
      </c>
      <c r="Q85" s="464" t="s">
        <v>547</v>
      </c>
      <c r="R85" s="462"/>
      <c r="S85" s="463" t="s">
        <v>510</v>
      </c>
      <c r="T85" s="464" t="s">
        <v>548</v>
      </c>
      <c r="U85" s="462"/>
      <c r="V85" s="463" t="s">
        <v>510</v>
      </c>
      <c r="W85" s="464" t="s">
        <v>549</v>
      </c>
      <c r="X85" s="462"/>
      <c r="Y85" s="463" t="s">
        <v>510</v>
      </c>
      <c r="Z85" s="464" t="s">
        <v>550</v>
      </c>
      <c r="AA85" s="462"/>
      <c r="AB85" s="463" t="s">
        <v>510</v>
      </c>
      <c r="AC85" s="464" t="s">
        <v>551</v>
      </c>
      <c r="AD85" s="462"/>
      <c r="AE85" s="463" t="s">
        <v>510</v>
      </c>
      <c r="AF85" s="464" t="s">
        <v>552</v>
      </c>
      <c r="AG85" s="462"/>
      <c r="AH85" s="463" t="s">
        <v>510</v>
      </c>
      <c r="AI85" s="464" t="s">
        <v>553</v>
      </c>
      <c r="AJ85" s="462"/>
      <c r="AK85" s="463" t="s">
        <v>510</v>
      </c>
      <c r="AL85" s="464" t="s">
        <v>554</v>
      </c>
      <c r="AN85" t="s">
        <v>739</v>
      </c>
      <c r="AO85" s="446">
        <f>SUM(A89:A96)</f>
        <v>14976</v>
      </c>
    </row>
    <row r="86" spans="1:41" x14ac:dyDescent="0.35">
      <c r="B86" s="110"/>
      <c r="C86" s="465"/>
      <c r="D86" s="170" t="s">
        <v>35</v>
      </c>
      <c r="E86" s="469">
        <f>SUM(E89:E111)</f>
        <v>3573.8293333333331</v>
      </c>
      <c r="F86" s="465"/>
      <c r="G86" s="170" t="s">
        <v>35</v>
      </c>
      <c r="H86" s="469">
        <f>SUM(H89:H111)</f>
        <v>3573.8293333333331</v>
      </c>
      <c r="I86" s="465"/>
      <c r="J86" s="170" t="s">
        <v>35</v>
      </c>
      <c r="K86" s="469">
        <f>SUM(K89:K111)</f>
        <v>3573.8293333333331</v>
      </c>
      <c r="L86" s="465"/>
      <c r="M86" s="170" t="s">
        <v>35</v>
      </c>
      <c r="N86" s="469">
        <f>SUM(N89:N111)</f>
        <v>4053.8293333333331</v>
      </c>
      <c r="O86" s="465"/>
      <c r="P86" s="170" t="s">
        <v>35</v>
      </c>
      <c r="Q86" s="469">
        <f>SUM(Q89:Q111)</f>
        <v>4053.8293333333331</v>
      </c>
      <c r="R86" s="465"/>
      <c r="S86" s="170" t="s">
        <v>35</v>
      </c>
      <c r="T86" s="469">
        <f>SUM(T89:T111)</f>
        <v>3813.8293333333331</v>
      </c>
      <c r="U86" s="465"/>
      <c r="V86" s="170" t="s">
        <v>35</v>
      </c>
      <c r="W86" s="469">
        <f>SUM(W89:W111)</f>
        <v>3573.8293333333331</v>
      </c>
      <c r="X86" s="465"/>
      <c r="Y86" s="170" t="s">
        <v>35</v>
      </c>
      <c r="Z86" s="469">
        <f>SUM(Z89:Z111)</f>
        <v>3093.8293333333331</v>
      </c>
      <c r="AA86" s="465"/>
      <c r="AB86" s="170" t="s">
        <v>35</v>
      </c>
      <c r="AC86" s="469">
        <f>SUM(AC89:AC111)</f>
        <v>3093.8293333333331</v>
      </c>
      <c r="AD86" s="465"/>
      <c r="AE86" s="170" t="s">
        <v>35</v>
      </c>
      <c r="AF86" s="469">
        <f>SUM(AF89:AF111)</f>
        <v>3093.8293333333331</v>
      </c>
      <c r="AG86" s="465"/>
      <c r="AH86" s="170" t="s">
        <v>35</v>
      </c>
      <c r="AI86" s="469">
        <f>SUM(AI89:AI111)</f>
        <v>3093.8293333333331</v>
      </c>
      <c r="AJ86" s="465"/>
      <c r="AK86" s="170" t="s">
        <v>35</v>
      </c>
      <c r="AL86" s="469">
        <f>SUM(AL89:AL111)</f>
        <v>3093.8293333333331</v>
      </c>
      <c r="AN86" s="114" t="s">
        <v>740</v>
      </c>
      <c r="AO86" s="446">
        <f>SUM(A105,A106,A107,A110)</f>
        <v>9600</v>
      </c>
    </row>
    <row r="87" spans="1:41" x14ac:dyDescent="0.35">
      <c r="A87" s="474" t="s">
        <v>270</v>
      </c>
      <c r="B87" s="470"/>
      <c r="C87" s="546" t="s">
        <v>512</v>
      </c>
      <c r="D87" s="547"/>
      <c r="E87" s="548"/>
      <c r="F87" s="546" t="s">
        <v>512</v>
      </c>
      <c r="G87" s="547"/>
      <c r="H87" s="548"/>
      <c r="I87" s="546" t="s">
        <v>512</v>
      </c>
      <c r="J87" s="547"/>
      <c r="K87" s="548"/>
      <c r="L87" s="546" t="s">
        <v>512</v>
      </c>
      <c r="M87" s="547"/>
      <c r="N87" s="548"/>
      <c r="O87" s="546" t="s">
        <v>512</v>
      </c>
      <c r="P87" s="547"/>
      <c r="Q87" s="548"/>
      <c r="R87" s="546" t="s">
        <v>512</v>
      </c>
      <c r="S87" s="547"/>
      <c r="T87" s="548"/>
      <c r="U87" s="546" t="s">
        <v>512</v>
      </c>
      <c r="V87" s="547"/>
      <c r="W87" s="548"/>
      <c r="X87" s="546" t="s">
        <v>512</v>
      </c>
      <c r="Y87" s="547"/>
      <c r="Z87" s="548"/>
      <c r="AA87" s="546" t="s">
        <v>512</v>
      </c>
      <c r="AB87" s="547"/>
      <c r="AC87" s="548"/>
      <c r="AD87" s="546" t="s">
        <v>512</v>
      </c>
      <c r="AE87" s="547"/>
      <c r="AF87" s="548"/>
      <c r="AG87" s="546" t="s">
        <v>512</v>
      </c>
      <c r="AH87" s="547"/>
      <c r="AI87" s="548"/>
      <c r="AJ87" s="546" t="s">
        <v>512</v>
      </c>
      <c r="AK87" s="547"/>
      <c r="AL87" s="548"/>
      <c r="AN87" s="114" t="s">
        <v>741</v>
      </c>
      <c r="AO87" s="446">
        <f>SUM(A97:A104)</f>
        <v>11160</v>
      </c>
    </row>
    <row r="88" spans="1:41" x14ac:dyDescent="0.35">
      <c r="A88" s="471">
        <f>SUM(A89:A111)</f>
        <v>41685.951999999997</v>
      </c>
      <c r="B88" s="473" t="s">
        <v>692</v>
      </c>
      <c r="C88" s="466" t="s">
        <v>509</v>
      </c>
      <c r="D88" s="467" t="s">
        <v>15</v>
      </c>
      <c r="E88" s="468" t="s">
        <v>368</v>
      </c>
      <c r="F88" s="466" t="s">
        <v>509</v>
      </c>
      <c r="G88" s="467" t="s">
        <v>15</v>
      </c>
      <c r="H88" s="468" t="s">
        <v>368</v>
      </c>
      <c r="I88" s="466" t="s">
        <v>509</v>
      </c>
      <c r="J88" s="467" t="s">
        <v>15</v>
      </c>
      <c r="K88" s="468" t="s">
        <v>368</v>
      </c>
      <c r="L88" s="466" t="s">
        <v>509</v>
      </c>
      <c r="M88" s="467" t="s">
        <v>15</v>
      </c>
      <c r="N88" s="468" t="s">
        <v>368</v>
      </c>
      <c r="O88" s="466" t="s">
        <v>509</v>
      </c>
      <c r="P88" s="467" t="s">
        <v>15</v>
      </c>
      <c r="Q88" s="468" t="s">
        <v>368</v>
      </c>
      <c r="R88" s="466" t="s">
        <v>509</v>
      </c>
      <c r="S88" s="467" t="s">
        <v>15</v>
      </c>
      <c r="T88" s="468" t="s">
        <v>368</v>
      </c>
      <c r="U88" s="466" t="s">
        <v>509</v>
      </c>
      <c r="V88" s="467" t="s">
        <v>15</v>
      </c>
      <c r="W88" s="468" t="s">
        <v>368</v>
      </c>
      <c r="X88" s="466" t="s">
        <v>509</v>
      </c>
      <c r="Y88" s="467" t="s">
        <v>15</v>
      </c>
      <c r="Z88" s="468" t="s">
        <v>368</v>
      </c>
      <c r="AA88" s="466" t="s">
        <v>509</v>
      </c>
      <c r="AB88" s="467" t="s">
        <v>15</v>
      </c>
      <c r="AC88" s="468" t="s">
        <v>368</v>
      </c>
      <c r="AD88" s="466" t="s">
        <v>509</v>
      </c>
      <c r="AE88" s="467" t="s">
        <v>15</v>
      </c>
      <c r="AF88" s="468" t="s">
        <v>368</v>
      </c>
      <c r="AG88" s="466" t="s">
        <v>509</v>
      </c>
      <c r="AH88" s="467" t="s">
        <v>15</v>
      </c>
      <c r="AI88" s="468" t="s">
        <v>368</v>
      </c>
      <c r="AJ88" s="466" t="s">
        <v>509</v>
      </c>
      <c r="AK88" s="467" t="s">
        <v>15</v>
      </c>
      <c r="AL88" s="468" t="s">
        <v>368</v>
      </c>
    </row>
    <row r="89" spans="1:41" x14ac:dyDescent="0.35">
      <c r="A89" s="471">
        <f t="shared" ref="A89:A109" si="5">SUM(E89,H89,K89,N89,Q89,T89,W89,Z89,AC89,AF89,AI89,AL89)</f>
        <v>0</v>
      </c>
      <c r="B89" s="459" t="s">
        <v>483</v>
      </c>
      <c r="C89" s="457">
        <v>0</v>
      </c>
      <c r="D89" s="460" t="str">
        <f>RevenueStreams!$E$12</f>
        <v>Per Hr</v>
      </c>
      <c r="E89" s="461">
        <f>C89*RevenueStreams!$D$12</f>
        <v>0</v>
      </c>
      <c r="F89" s="457">
        <v>0</v>
      </c>
      <c r="G89" s="460" t="str">
        <f>RevenueStreams!$E$12</f>
        <v>Per Hr</v>
      </c>
      <c r="H89" s="461">
        <f>F89*RevenueStreams!$D$12</f>
        <v>0</v>
      </c>
      <c r="I89" s="457">
        <v>0</v>
      </c>
      <c r="J89" s="460" t="str">
        <f>RevenueStreams!$E$12</f>
        <v>Per Hr</v>
      </c>
      <c r="K89" s="461">
        <f>I89*RevenueStreams!$D$12</f>
        <v>0</v>
      </c>
      <c r="L89" s="457">
        <v>0</v>
      </c>
      <c r="M89" s="456" t="str">
        <f>RevenueStreams!$E$12</f>
        <v>Per Hr</v>
      </c>
      <c r="N89" s="458">
        <f>L89*RevenueStreams!$D$12</f>
        <v>0</v>
      </c>
      <c r="O89" s="457">
        <v>0</v>
      </c>
      <c r="P89" s="456" t="str">
        <f>RevenueStreams!$E$12</f>
        <v>Per Hr</v>
      </c>
      <c r="Q89" s="458">
        <f>O89*RevenueStreams!$D$12</f>
        <v>0</v>
      </c>
      <c r="R89" s="457">
        <v>0</v>
      </c>
      <c r="S89" s="456" t="str">
        <f>RevenueStreams!$E$12</f>
        <v>Per Hr</v>
      </c>
      <c r="T89" s="458">
        <f>R89*RevenueStreams!$D$12</f>
        <v>0</v>
      </c>
      <c r="U89" s="457">
        <v>0</v>
      </c>
      <c r="V89" s="456" t="str">
        <f>RevenueStreams!$E$12</f>
        <v>Per Hr</v>
      </c>
      <c r="W89" s="458">
        <f>U89*RevenueStreams!$D$12</f>
        <v>0</v>
      </c>
      <c r="X89" s="457">
        <v>0</v>
      </c>
      <c r="Y89" s="456" t="str">
        <f>RevenueStreams!$E$12</f>
        <v>Per Hr</v>
      </c>
      <c r="Z89" s="458">
        <f>X89*RevenueStreams!$D$12</f>
        <v>0</v>
      </c>
      <c r="AA89" s="457">
        <v>0</v>
      </c>
      <c r="AB89" s="456" t="str">
        <f>RevenueStreams!$E$12</f>
        <v>Per Hr</v>
      </c>
      <c r="AC89" s="458">
        <f>AA89*RevenueStreams!$D$12</f>
        <v>0</v>
      </c>
      <c r="AD89" s="457">
        <v>0</v>
      </c>
      <c r="AE89" s="456" t="str">
        <f>RevenueStreams!$E$12</f>
        <v>Per Hr</v>
      </c>
      <c r="AF89" s="458">
        <f>AD89*RevenueStreams!$D$12</f>
        <v>0</v>
      </c>
      <c r="AG89" s="457">
        <v>0</v>
      </c>
      <c r="AH89" s="456" t="str">
        <f>RevenueStreams!$E$12</f>
        <v>Per Hr</v>
      </c>
      <c r="AI89" s="458">
        <f>AG89*RevenueStreams!$D$12</f>
        <v>0</v>
      </c>
      <c r="AJ89" s="457">
        <v>0</v>
      </c>
      <c r="AK89" s="456" t="str">
        <f>RevenueStreams!$E$12</f>
        <v>Per Hr</v>
      </c>
      <c r="AL89" s="458">
        <f>AJ89*RevenueStreams!$D$12</f>
        <v>0</v>
      </c>
    </row>
    <row r="90" spans="1:41" x14ac:dyDescent="0.35">
      <c r="A90" s="471">
        <f t="shared" si="5"/>
        <v>2304</v>
      </c>
      <c r="B90" s="459" t="s">
        <v>484</v>
      </c>
      <c r="C90" s="457">
        <v>1</v>
      </c>
      <c r="D90" s="460" t="str">
        <f>RevenueStreams!$E$13</f>
        <v>Per Mo</v>
      </c>
      <c r="E90" s="461">
        <f>C90*RevenueStreams!$D$13</f>
        <v>192</v>
      </c>
      <c r="F90" s="457">
        <v>1</v>
      </c>
      <c r="G90" s="460" t="str">
        <f>RevenueStreams!$E$13</f>
        <v>Per Mo</v>
      </c>
      <c r="H90" s="461">
        <f>F90*RevenueStreams!$D$13</f>
        <v>192</v>
      </c>
      <c r="I90" s="457">
        <v>1</v>
      </c>
      <c r="J90" s="460" t="str">
        <f>RevenueStreams!$E$13</f>
        <v>Per Mo</v>
      </c>
      <c r="K90" s="461">
        <f>I90*RevenueStreams!$D$13</f>
        <v>192</v>
      </c>
      <c r="L90" s="457">
        <v>1</v>
      </c>
      <c r="M90" s="456" t="str">
        <f>RevenueStreams!$E$13</f>
        <v>Per Mo</v>
      </c>
      <c r="N90" s="458">
        <f>L90*RevenueStreams!$D$13</f>
        <v>192</v>
      </c>
      <c r="O90" s="457">
        <v>1</v>
      </c>
      <c r="P90" s="456" t="str">
        <f>RevenueStreams!$E$13</f>
        <v>Per Mo</v>
      </c>
      <c r="Q90" s="458">
        <f>O90*RevenueStreams!$D$13</f>
        <v>192</v>
      </c>
      <c r="R90" s="457">
        <v>1</v>
      </c>
      <c r="S90" s="456" t="str">
        <f>RevenueStreams!$E$13</f>
        <v>Per Mo</v>
      </c>
      <c r="T90" s="458">
        <f>R90*RevenueStreams!$D$13</f>
        <v>192</v>
      </c>
      <c r="U90" s="457">
        <v>1</v>
      </c>
      <c r="V90" s="456" t="str">
        <f>RevenueStreams!$E$13</f>
        <v>Per Mo</v>
      </c>
      <c r="W90" s="458">
        <f>U90*RevenueStreams!$D$13</f>
        <v>192</v>
      </c>
      <c r="X90" s="457">
        <v>1</v>
      </c>
      <c r="Y90" s="456" t="str">
        <f>RevenueStreams!$E$13</f>
        <v>Per Mo</v>
      </c>
      <c r="Z90" s="458">
        <f>X90*RevenueStreams!$D$13</f>
        <v>192</v>
      </c>
      <c r="AA90" s="457">
        <v>1</v>
      </c>
      <c r="AB90" s="456" t="str">
        <f>RevenueStreams!$E$13</f>
        <v>Per Mo</v>
      </c>
      <c r="AC90" s="458">
        <f>AA90*RevenueStreams!$D$13</f>
        <v>192</v>
      </c>
      <c r="AD90" s="457">
        <v>1</v>
      </c>
      <c r="AE90" s="456" t="str">
        <f>RevenueStreams!$E$13</f>
        <v>Per Mo</v>
      </c>
      <c r="AF90" s="458">
        <f>AD90*RevenueStreams!$D$13</f>
        <v>192</v>
      </c>
      <c r="AG90" s="457">
        <v>1</v>
      </c>
      <c r="AH90" s="456" t="str">
        <f>RevenueStreams!$E$13</f>
        <v>Per Mo</v>
      </c>
      <c r="AI90" s="458">
        <f>AG90*RevenueStreams!$D$13</f>
        <v>192</v>
      </c>
      <c r="AJ90" s="457">
        <v>1</v>
      </c>
      <c r="AK90" s="456" t="str">
        <f>RevenueStreams!$E$13</f>
        <v>Per Mo</v>
      </c>
      <c r="AL90" s="458">
        <f>AJ90*RevenueStreams!$D$13</f>
        <v>192</v>
      </c>
    </row>
    <row r="91" spans="1:41" x14ac:dyDescent="0.35">
      <c r="A91" s="471">
        <f t="shared" si="5"/>
        <v>2304</v>
      </c>
      <c r="B91" s="459" t="s">
        <v>485</v>
      </c>
      <c r="C91" s="457">
        <v>1</v>
      </c>
      <c r="D91" s="460" t="str">
        <f>RevenueStreams!$E$14</f>
        <v>Per Mo</v>
      </c>
      <c r="E91" s="461">
        <f>C91*RevenueStreams!$D$14</f>
        <v>192</v>
      </c>
      <c r="F91" s="457">
        <v>1</v>
      </c>
      <c r="G91" s="460" t="str">
        <f>RevenueStreams!$E$14</f>
        <v>Per Mo</v>
      </c>
      <c r="H91" s="461">
        <f>F91*RevenueStreams!$D$14</f>
        <v>192</v>
      </c>
      <c r="I91" s="457">
        <v>1</v>
      </c>
      <c r="J91" s="460" t="str">
        <f>RevenueStreams!$E$14</f>
        <v>Per Mo</v>
      </c>
      <c r="K91" s="461">
        <f>I91*RevenueStreams!$D$14</f>
        <v>192</v>
      </c>
      <c r="L91" s="457">
        <v>1</v>
      </c>
      <c r="M91" s="460" t="str">
        <f>RevenueStreams!$E$14</f>
        <v>Per Mo</v>
      </c>
      <c r="N91" s="461">
        <f>L91*RevenueStreams!$D$14</f>
        <v>192</v>
      </c>
      <c r="O91" s="457">
        <v>1</v>
      </c>
      <c r="P91" s="460" t="str">
        <f>RevenueStreams!$E$14</f>
        <v>Per Mo</v>
      </c>
      <c r="Q91" s="461">
        <f>O91*RevenueStreams!$D$14</f>
        <v>192</v>
      </c>
      <c r="R91" s="457">
        <v>1</v>
      </c>
      <c r="S91" s="460" t="str">
        <f>RevenueStreams!$E$14</f>
        <v>Per Mo</v>
      </c>
      <c r="T91" s="461">
        <f>R91*RevenueStreams!$D$14</f>
        <v>192</v>
      </c>
      <c r="U91" s="457">
        <v>1</v>
      </c>
      <c r="V91" s="460" t="str">
        <f>RevenueStreams!$E$14</f>
        <v>Per Mo</v>
      </c>
      <c r="W91" s="461">
        <f>U91*RevenueStreams!$D$14</f>
        <v>192</v>
      </c>
      <c r="X91" s="457">
        <v>1</v>
      </c>
      <c r="Y91" s="460" t="str">
        <f>RevenueStreams!$E$14</f>
        <v>Per Mo</v>
      </c>
      <c r="Z91" s="461">
        <f>X91*RevenueStreams!$D$14</f>
        <v>192</v>
      </c>
      <c r="AA91" s="457">
        <v>1</v>
      </c>
      <c r="AB91" s="460" t="str">
        <f>RevenueStreams!$E$14</f>
        <v>Per Mo</v>
      </c>
      <c r="AC91" s="461">
        <f>AA91*RevenueStreams!$D$14</f>
        <v>192</v>
      </c>
      <c r="AD91" s="457">
        <v>1</v>
      </c>
      <c r="AE91" s="460" t="str">
        <f>RevenueStreams!$E$14</f>
        <v>Per Mo</v>
      </c>
      <c r="AF91" s="461">
        <f>AD91*RevenueStreams!$D$14</f>
        <v>192</v>
      </c>
      <c r="AG91" s="457">
        <v>1</v>
      </c>
      <c r="AH91" s="460" t="str">
        <f>RevenueStreams!$E$14</f>
        <v>Per Mo</v>
      </c>
      <c r="AI91" s="461">
        <f>AG91*RevenueStreams!$D$14</f>
        <v>192</v>
      </c>
      <c r="AJ91" s="457">
        <v>1</v>
      </c>
      <c r="AK91" s="460" t="str">
        <f>RevenueStreams!$E$14</f>
        <v>Per Mo</v>
      </c>
      <c r="AL91" s="461">
        <f>AJ91*RevenueStreams!$D$14</f>
        <v>192</v>
      </c>
    </row>
    <row r="92" spans="1:41" x14ac:dyDescent="0.35">
      <c r="A92" s="471">
        <f t="shared" si="5"/>
        <v>0</v>
      </c>
      <c r="B92" s="459" t="s">
        <v>486</v>
      </c>
      <c r="C92" s="457">
        <v>0</v>
      </c>
      <c r="D92" s="460" t="str">
        <f>RevenueStreams!$E$15</f>
        <v>Per Mo</v>
      </c>
      <c r="E92" s="461">
        <f>C92*RevenueStreams!$D$15</f>
        <v>0</v>
      </c>
      <c r="F92" s="457">
        <v>0</v>
      </c>
      <c r="G92" s="460" t="str">
        <f>RevenueStreams!$E$15</f>
        <v>Per Mo</v>
      </c>
      <c r="H92" s="461">
        <f>F92*RevenueStreams!$D$15</f>
        <v>0</v>
      </c>
      <c r="I92" s="457">
        <v>0</v>
      </c>
      <c r="J92" s="460" t="str">
        <f>RevenueStreams!$E$15</f>
        <v>Per Mo</v>
      </c>
      <c r="K92" s="461">
        <f>I92*RevenueStreams!$D$15</f>
        <v>0</v>
      </c>
      <c r="L92" s="457">
        <v>0</v>
      </c>
      <c r="M92" s="460" t="str">
        <f>RevenueStreams!$E$15</f>
        <v>Per Mo</v>
      </c>
      <c r="N92" s="461">
        <f>L92*RevenueStreams!$D$15</f>
        <v>0</v>
      </c>
      <c r="O92" s="457">
        <v>0</v>
      </c>
      <c r="P92" s="460" t="str">
        <f>RevenueStreams!$E$15</f>
        <v>Per Mo</v>
      </c>
      <c r="Q92" s="461">
        <f>O92*RevenueStreams!$D$15</f>
        <v>0</v>
      </c>
      <c r="R92" s="457">
        <v>0</v>
      </c>
      <c r="S92" s="460" t="str">
        <f>RevenueStreams!$E$15</f>
        <v>Per Mo</v>
      </c>
      <c r="T92" s="461">
        <f>R92*RevenueStreams!$D$15</f>
        <v>0</v>
      </c>
      <c r="U92" s="457">
        <v>0</v>
      </c>
      <c r="V92" s="460" t="str">
        <f>RevenueStreams!$E$15</f>
        <v>Per Mo</v>
      </c>
      <c r="W92" s="461">
        <f>U92*RevenueStreams!$D$15</f>
        <v>0</v>
      </c>
      <c r="X92" s="457">
        <v>0</v>
      </c>
      <c r="Y92" s="460" t="str">
        <f>RevenueStreams!$E$15</f>
        <v>Per Mo</v>
      </c>
      <c r="Z92" s="461">
        <f>X92*RevenueStreams!$D$15</f>
        <v>0</v>
      </c>
      <c r="AA92" s="457">
        <v>0</v>
      </c>
      <c r="AB92" s="460" t="str">
        <f>RevenueStreams!$E$15</f>
        <v>Per Mo</v>
      </c>
      <c r="AC92" s="461">
        <f>AA92*RevenueStreams!$D$15</f>
        <v>0</v>
      </c>
      <c r="AD92" s="457">
        <v>0</v>
      </c>
      <c r="AE92" s="460" t="str">
        <f>RevenueStreams!$E$15</f>
        <v>Per Mo</v>
      </c>
      <c r="AF92" s="461">
        <f>AD92*RevenueStreams!$D$15</f>
        <v>0</v>
      </c>
      <c r="AG92" s="457">
        <v>0</v>
      </c>
      <c r="AH92" s="460" t="str">
        <f>RevenueStreams!$E$15</f>
        <v>Per Mo</v>
      </c>
      <c r="AI92" s="461">
        <f>AG92*RevenueStreams!$D$15</f>
        <v>0</v>
      </c>
      <c r="AJ92" s="457">
        <v>0</v>
      </c>
      <c r="AK92" s="460" t="str">
        <f>RevenueStreams!$E$15</f>
        <v>Per Mo</v>
      </c>
      <c r="AL92" s="461">
        <f>AJ92*RevenueStreams!$D$15</f>
        <v>0</v>
      </c>
    </row>
    <row r="93" spans="1:41" x14ac:dyDescent="0.35">
      <c r="A93" s="471">
        <f t="shared" si="5"/>
        <v>3456</v>
      </c>
      <c r="B93" s="459" t="s">
        <v>530</v>
      </c>
      <c r="C93" s="457">
        <v>1</v>
      </c>
      <c r="D93" s="460" t="str">
        <f>RevenueStreams!$E$16</f>
        <v>Per Mo</v>
      </c>
      <c r="E93" s="461">
        <f>C93*RevenueStreams!$D$16</f>
        <v>288</v>
      </c>
      <c r="F93" s="457">
        <v>1</v>
      </c>
      <c r="G93" s="460" t="str">
        <f>RevenueStreams!$E$16</f>
        <v>Per Mo</v>
      </c>
      <c r="H93" s="461">
        <f>F93*RevenueStreams!$D$16</f>
        <v>288</v>
      </c>
      <c r="I93" s="457">
        <v>1</v>
      </c>
      <c r="J93" s="460" t="str">
        <f>RevenueStreams!$E$16</f>
        <v>Per Mo</v>
      </c>
      <c r="K93" s="461">
        <f>I93*RevenueStreams!$D$16</f>
        <v>288</v>
      </c>
      <c r="L93" s="457">
        <v>1</v>
      </c>
      <c r="M93" s="460" t="str">
        <f>RevenueStreams!$E$16</f>
        <v>Per Mo</v>
      </c>
      <c r="N93" s="461">
        <f>L93*RevenueStreams!$D$16</f>
        <v>288</v>
      </c>
      <c r="O93" s="457">
        <v>1</v>
      </c>
      <c r="P93" s="460" t="str">
        <f>RevenueStreams!$E$16</f>
        <v>Per Mo</v>
      </c>
      <c r="Q93" s="461">
        <f>O93*RevenueStreams!$D$16</f>
        <v>288</v>
      </c>
      <c r="R93" s="457">
        <v>1</v>
      </c>
      <c r="S93" s="460" t="str">
        <f>RevenueStreams!$E$16</f>
        <v>Per Mo</v>
      </c>
      <c r="T93" s="461">
        <f>R93*RevenueStreams!$D$16</f>
        <v>288</v>
      </c>
      <c r="U93" s="457">
        <v>1</v>
      </c>
      <c r="V93" s="460" t="str">
        <f>RevenueStreams!$E$16</f>
        <v>Per Mo</v>
      </c>
      <c r="W93" s="461">
        <f>U93*RevenueStreams!$D$16</f>
        <v>288</v>
      </c>
      <c r="X93" s="457">
        <v>1</v>
      </c>
      <c r="Y93" s="460" t="str">
        <f>RevenueStreams!$E$16</f>
        <v>Per Mo</v>
      </c>
      <c r="Z93" s="461">
        <f>X93*RevenueStreams!$D$16</f>
        <v>288</v>
      </c>
      <c r="AA93" s="457">
        <v>1</v>
      </c>
      <c r="AB93" s="460" t="str">
        <f>RevenueStreams!$E$16</f>
        <v>Per Mo</v>
      </c>
      <c r="AC93" s="461">
        <f>AA93*RevenueStreams!$D$16</f>
        <v>288</v>
      </c>
      <c r="AD93" s="457">
        <v>1</v>
      </c>
      <c r="AE93" s="460" t="str">
        <f>RevenueStreams!$E$16</f>
        <v>Per Mo</v>
      </c>
      <c r="AF93" s="461">
        <f>AD93*RevenueStreams!$D$16</f>
        <v>288</v>
      </c>
      <c r="AG93" s="457">
        <v>1</v>
      </c>
      <c r="AH93" s="460" t="str">
        <f>RevenueStreams!$E$16</f>
        <v>Per Mo</v>
      </c>
      <c r="AI93" s="461">
        <f>AG93*RevenueStreams!$D$16</f>
        <v>288</v>
      </c>
      <c r="AJ93" s="457">
        <v>1</v>
      </c>
      <c r="AK93" s="460" t="str">
        <f>RevenueStreams!$E$16</f>
        <v>Per Mo</v>
      </c>
      <c r="AL93" s="461">
        <f>AJ93*RevenueStreams!$D$16</f>
        <v>288</v>
      </c>
    </row>
    <row r="94" spans="1:41" x14ac:dyDescent="0.35">
      <c r="A94" s="471">
        <f t="shared" si="5"/>
        <v>0</v>
      </c>
      <c r="B94" s="459" t="s">
        <v>487</v>
      </c>
      <c r="C94" s="457">
        <v>0</v>
      </c>
      <c r="D94" s="460" t="str">
        <f>RevenueStreams!$E$17</f>
        <v>Per Mo</v>
      </c>
      <c r="E94" s="461">
        <f>C94*RevenueStreams!$D$17</f>
        <v>0</v>
      </c>
      <c r="F94" s="457">
        <v>0</v>
      </c>
      <c r="G94" s="460" t="str">
        <f>RevenueStreams!$E$17</f>
        <v>Per Mo</v>
      </c>
      <c r="H94" s="461">
        <f>F94*RevenueStreams!$D$17</f>
        <v>0</v>
      </c>
      <c r="I94" s="457">
        <v>0</v>
      </c>
      <c r="J94" s="460" t="str">
        <f>RevenueStreams!$E$17</f>
        <v>Per Mo</v>
      </c>
      <c r="K94" s="461">
        <f>I94*RevenueStreams!$D$17</f>
        <v>0</v>
      </c>
      <c r="L94" s="457">
        <v>0</v>
      </c>
      <c r="M94" s="460" t="str">
        <f>RevenueStreams!$E$17</f>
        <v>Per Mo</v>
      </c>
      <c r="N94" s="461">
        <f>L94*RevenueStreams!$D$17</f>
        <v>0</v>
      </c>
      <c r="O94" s="457">
        <v>0</v>
      </c>
      <c r="P94" s="460" t="str">
        <f>RevenueStreams!$E$17</f>
        <v>Per Mo</v>
      </c>
      <c r="Q94" s="461">
        <f>O94*RevenueStreams!$D$17</f>
        <v>0</v>
      </c>
      <c r="R94" s="457">
        <v>0</v>
      </c>
      <c r="S94" s="460" t="str">
        <f>RevenueStreams!$E$17</f>
        <v>Per Mo</v>
      </c>
      <c r="T94" s="461">
        <f>R94*RevenueStreams!$D$17</f>
        <v>0</v>
      </c>
      <c r="U94" s="457">
        <v>0</v>
      </c>
      <c r="V94" s="460" t="str">
        <f>RevenueStreams!$E$17</f>
        <v>Per Mo</v>
      </c>
      <c r="W94" s="461">
        <f>U94*RevenueStreams!$D$17</f>
        <v>0</v>
      </c>
      <c r="X94" s="457">
        <v>0</v>
      </c>
      <c r="Y94" s="460" t="str">
        <f>RevenueStreams!$E$17</f>
        <v>Per Mo</v>
      </c>
      <c r="Z94" s="461">
        <f>X94*RevenueStreams!$D$17</f>
        <v>0</v>
      </c>
      <c r="AA94" s="457">
        <v>0</v>
      </c>
      <c r="AB94" s="460" t="str">
        <f>RevenueStreams!$E$17</f>
        <v>Per Mo</v>
      </c>
      <c r="AC94" s="461">
        <f>AA94*RevenueStreams!$D$17</f>
        <v>0</v>
      </c>
      <c r="AD94" s="457">
        <v>0</v>
      </c>
      <c r="AE94" s="460" t="str">
        <f>RevenueStreams!$E$17</f>
        <v>Per Mo</v>
      </c>
      <c r="AF94" s="461">
        <f>AD94*RevenueStreams!$D$17</f>
        <v>0</v>
      </c>
      <c r="AG94" s="457">
        <v>0</v>
      </c>
      <c r="AH94" s="460" t="str">
        <f>RevenueStreams!$E$17</f>
        <v>Per Mo</v>
      </c>
      <c r="AI94" s="461">
        <f>AG94*RevenueStreams!$D$17</f>
        <v>0</v>
      </c>
      <c r="AJ94" s="457">
        <v>0</v>
      </c>
      <c r="AK94" s="460" t="str">
        <f>RevenueStreams!$E$17</f>
        <v>Per Mo</v>
      </c>
      <c r="AL94" s="461">
        <f>AJ94*RevenueStreams!$D$17</f>
        <v>0</v>
      </c>
    </row>
    <row r="95" spans="1:41" x14ac:dyDescent="0.35">
      <c r="A95" s="471">
        <f t="shared" si="5"/>
        <v>0</v>
      </c>
      <c r="B95" s="459" t="s">
        <v>488</v>
      </c>
      <c r="C95" s="457">
        <v>0</v>
      </c>
      <c r="D95" s="460" t="str">
        <f>RevenueStreams!$E$18</f>
        <v>Per Mo</v>
      </c>
      <c r="E95" s="461">
        <f>C95*RevenueStreams!$D$18</f>
        <v>0</v>
      </c>
      <c r="F95" s="457">
        <v>0</v>
      </c>
      <c r="G95" s="460" t="str">
        <f>RevenueStreams!$E$18</f>
        <v>Per Mo</v>
      </c>
      <c r="H95" s="461">
        <f>F95*RevenueStreams!$D$18</f>
        <v>0</v>
      </c>
      <c r="I95" s="457">
        <v>0</v>
      </c>
      <c r="J95" s="460" t="str">
        <f>RevenueStreams!$E$18</f>
        <v>Per Mo</v>
      </c>
      <c r="K95" s="461">
        <f>I95*RevenueStreams!$D$18</f>
        <v>0</v>
      </c>
      <c r="L95" s="457">
        <v>0</v>
      </c>
      <c r="M95" s="460" t="str">
        <f>RevenueStreams!$E$18</f>
        <v>Per Mo</v>
      </c>
      <c r="N95" s="461">
        <f>L95*RevenueStreams!$D$18</f>
        <v>0</v>
      </c>
      <c r="O95" s="457">
        <v>0</v>
      </c>
      <c r="P95" s="460" t="str">
        <f>RevenueStreams!$E$18</f>
        <v>Per Mo</v>
      </c>
      <c r="Q95" s="461">
        <f>O95*RevenueStreams!$D$18</f>
        <v>0</v>
      </c>
      <c r="R95" s="457">
        <v>0</v>
      </c>
      <c r="S95" s="460" t="str">
        <f>RevenueStreams!$E$18</f>
        <v>Per Mo</v>
      </c>
      <c r="T95" s="461">
        <f>R95*RevenueStreams!$D$18</f>
        <v>0</v>
      </c>
      <c r="U95" s="457">
        <v>0</v>
      </c>
      <c r="V95" s="460" t="str">
        <f>RevenueStreams!$E$18</f>
        <v>Per Mo</v>
      </c>
      <c r="W95" s="461">
        <f>U95*RevenueStreams!$D$18</f>
        <v>0</v>
      </c>
      <c r="X95" s="457">
        <v>0</v>
      </c>
      <c r="Y95" s="460" t="str">
        <f>RevenueStreams!$E$18</f>
        <v>Per Mo</v>
      </c>
      <c r="Z95" s="461">
        <f>X95*RevenueStreams!$D$18</f>
        <v>0</v>
      </c>
      <c r="AA95" s="457">
        <v>0</v>
      </c>
      <c r="AB95" s="460" t="str">
        <f>RevenueStreams!$E$18</f>
        <v>Per Mo</v>
      </c>
      <c r="AC95" s="461">
        <f>AA95*RevenueStreams!$D$18</f>
        <v>0</v>
      </c>
      <c r="AD95" s="457">
        <v>0</v>
      </c>
      <c r="AE95" s="460" t="str">
        <f>RevenueStreams!$E$18</f>
        <v>Per Mo</v>
      </c>
      <c r="AF95" s="461">
        <f>AD95*RevenueStreams!$D$18</f>
        <v>0</v>
      </c>
      <c r="AG95" s="457">
        <v>0</v>
      </c>
      <c r="AH95" s="460" t="str">
        <f>RevenueStreams!$E$18</f>
        <v>Per Mo</v>
      </c>
      <c r="AI95" s="461">
        <f>AG95*RevenueStreams!$D$18</f>
        <v>0</v>
      </c>
      <c r="AJ95" s="457">
        <v>0</v>
      </c>
      <c r="AK95" s="460" t="str">
        <f>RevenueStreams!$E$18</f>
        <v>Per Mo</v>
      </c>
      <c r="AL95" s="461">
        <f>AJ95*RevenueStreams!$D$18</f>
        <v>0</v>
      </c>
    </row>
    <row r="96" spans="1:41" x14ac:dyDescent="0.35">
      <c r="A96" s="471">
        <f t="shared" si="5"/>
        <v>6912</v>
      </c>
      <c r="B96" s="459" t="s">
        <v>489</v>
      </c>
      <c r="C96" s="457">
        <v>1</v>
      </c>
      <c r="D96" s="460" t="str">
        <f>RevenueStreams!$E$19</f>
        <v>Per Mo</v>
      </c>
      <c r="E96" s="461">
        <f>C96*RevenueStreams!$D$19</f>
        <v>576</v>
      </c>
      <c r="F96" s="457">
        <v>1</v>
      </c>
      <c r="G96" s="460" t="str">
        <f>RevenueStreams!$E$19</f>
        <v>Per Mo</v>
      </c>
      <c r="H96" s="461">
        <f>F96*RevenueStreams!$D$19</f>
        <v>576</v>
      </c>
      <c r="I96" s="457">
        <v>1</v>
      </c>
      <c r="J96" s="460" t="str">
        <f>RevenueStreams!$E$19</f>
        <v>Per Mo</v>
      </c>
      <c r="K96" s="461">
        <f>I96*RevenueStreams!$D$19</f>
        <v>576</v>
      </c>
      <c r="L96" s="457">
        <v>1</v>
      </c>
      <c r="M96" s="460" t="str">
        <f>RevenueStreams!$E$19</f>
        <v>Per Mo</v>
      </c>
      <c r="N96" s="461">
        <f>L96*RevenueStreams!$D$19</f>
        <v>576</v>
      </c>
      <c r="O96" s="457">
        <v>1</v>
      </c>
      <c r="P96" s="460" t="str">
        <f>RevenueStreams!$E$19</f>
        <v>Per Mo</v>
      </c>
      <c r="Q96" s="461">
        <f>O96*RevenueStreams!$D$19</f>
        <v>576</v>
      </c>
      <c r="R96" s="457">
        <v>1</v>
      </c>
      <c r="S96" s="460" t="str">
        <f>RevenueStreams!$E$19</f>
        <v>Per Mo</v>
      </c>
      <c r="T96" s="461">
        <f>R96*RevenueStreams!$D$19</f>
        <v>576</v>
      </c>
      <c r="U96" s="457">
        <v>1</v>
      </c>
      <c r="V96" s="460" t="str">
        <f>RevenueStreams!$E$19</f>
        <v>Per Mo</v>
      </c>
      <c r="W96" s="461">
        <f>U96*RevenueStreams!$D$19</f>
        <v>576</v>
      </c>
      <c r="X96" s="457">
        <v>1</v>
      </c>
      <c r="Y96" s="460" t="str">
        <f>RevenueStreams!$E$19</f>
        <v>Per Mo</v>
      </c>
      <c r="Z96" s="461">
        <f>X96*RevenueStreams!$D$19</f>
        <v>576</v>
      </c>
      <c r="AA96" s="457">
        <v>1</v>
      </c>
      <c r="AB96" s="460" t="str">
        <f>RevenueStreams!$E$19</f>
        <v>Per Mo</v>
      </c>
      <c r="AC96" s="461">
        <f>AA96*RevenueStreams!$D$19</f>
        <v>576</v>
      </c>
      <c r="AD96" s="457">
        <v>1</v>
      </c>
      <c r="AE96" s="460" t="str">
        <f>RevenueStreams!$E$19</f>
        <v>Per Mo</v>
      </c>
      <c r="AF96" s="461">
        <f>AD96*RevenueStreams!$D$19</f>
        <v>576</v>
      </c>
      <c r="AG96" s="457">
        <v>1</v>
      </c>
      <c r="AH96" s="460" t="str">
        <f>RevenueStreams!$E$19</f>
        <v>Per Mo</v>
      </c>
      <c r="AI96" s="461">
        <f>AG96*RevenueStreams!$D$19</f>
        <v>576</v>
      </c>
      <c r="AJ96" s="457">
        <v>1</v>
      </c>
      <c r="AK96" s="460" t="str">
        <f>RevenueStreams!$E$19</f>
        <v>Per Mo</v>
      </c>
      <c r="AL96" s="461">
        <f>AJ96*RevenueStreams!$D$19</f>
        <v>576</v>
      </c>
    </row>
    <row r="97" spans="1:38" x14ac:dyDescent="0.35">
      <c r="A97" s="471">
        <f t="shared" si="5"/>
        <v>0</v>
      </c>
      <c r="B97" s="459" t="s">
        <v>496</v>
      </c>
      <c r="C97" s="457">
        <v>0</v>
      </c>
      <c r="D97" s="460" t="str">
        <f>RevenueStreams!$E$20</f>
        <v>Per  Hr</v>
      </c>
      <c r="E97" s="461">
        <f>C97*RevenueStreams!$D$20</f>
        <v>0</v>
      </c>
      <c r="F97" s="457">
        <v>0</v>
      </c>
      <c r="G97" s="460" t="str">
        <f>RevenueStreams!$E$20</f>
        <v>Per  Hr</v>
      </c>
      <c r="H97" s="461">
        <f>F97*RevenueStreams!$D$20</f>
        <v>0</v>
      </c>
      <c r="I97" s="457">
        <v>0</v>
      </c>
      <c r="J97" s="460" t="str">
        <f>RevenueStreams!$E$20</f>
        <v>Per  Hr</v>
      </c>
      <c r="K97" s="461">
        <f>I97*RevenueStreams!$D$20</f>
        <v>0</v>
      </c>
      <c r="L97" s="457">
        <v>0</v>
      </c>
      <c r="M97" s="460" t="str">
        <f>RevenueStreams!$E$20</f>
        <v>Per  Hr</v>
      </c>
      <c r="N97" s="461">
        <f>L97*RevenueStreams!$D$20</f>
        <v>0</v>
      </c>
      <c r="O97" s="457">
        <v>0</v>
      </c>
      <c r="P97" s="460" t="str">
        <f>RevenueStreams!$E$20</f>
        <v>Per  Hr</v>
      </c>
      <c r="Q97" s="461">
        <f>O97*RevenueStreams!$D$20</f>
        <v>0</v>
      </c>
      <c r="R97" s="457">
        <v>0</v>
      </c>
      <c r="S97" s="460" t="str">
        <f>RevenueStreams!$E$20</f>
        <v>Per  Hr</v>
      </c>
      <c r="T97" s="461">
        <f>R97*RevenueStreams!$D$20</f>
        <v>0</v>
      </c>
      <c r="U97" s="457">
        <v>0</v>
      </c>
      <c r="V97" s="460" t="str">
        <f>RevenueStreams!$E$20</f>
        <v>Per  Hr</v>
      </c>
      <c r="W97" s="461">
        <f>U97*RevenueStreams!$D$20</f>
        <v>0</v>
      </c>
      <c r="X97" s="457">
        <v>0</v>
      </c>
      <c r="Y97" s="460" t="str">
        <f>RevenueStreams!$E$20</f>
        <v>Per  Hr</v>
      </c>
      <c r="Z97" s="461">
        <f>X97*RevenueStreams!$D$20</f>
        <v>0</v>
      </c>
      <c r="AA97" s="457">
        <v>0</v>
      </c>
      <c r="AB97" s="460" t="str">
        <f>RevenueStreams!$E$20</f>
        <v>Per  Hr</v>
      </c>
      <c r="AC97" s="461">
        <f>AA97*RevenueStreams!$D$20</f>
        <v>0</v>
      </c>
      <c r="AD97" s="457">
        <v>0</v>
      </c>
      <c r="AE97" s="460" t="str">
        <f>RevenueStreams!$E$20</f>
        <v>Per  Hr</v>
      </c>
      <c r="AF97" s="461">
        <f>AD97*RevenueStreams!$D$20</f>
        <v>0</v>
      </c>
      <c r="AG97" s="457">
        <v>0</v>
      </c>
      <c r="AH97" s="460" t="str">
        <f>RevenueStreams!$E$20</f>
        <v>Per  Hr</v>
      </c>
      <c r="AI97" s="461">
        <f>AG97*RevenueStreams!$D$20</f>
        <v>0</v>
      </c>
      <c r="AJ97" s="457">
        <v>0</v>
      </c>
      <c r="AK97" s="460" t="str">
        <f>RevenueStreams!$E$20</f>
        <v>Per  Hr</v>
      </c>
      <c r="AL97" s="461">
        <f>AJ97*RevenueStreams!$D$20</f>
        <v>0</v>
      </c>
    </row>
    <row r="98" spans="1:38" x14ac:dyDescent="0.35">
      <c r="A98" s="471">
        <f t="shared" si="5"/>
        <v>0</v>
      </c>
      <c r="B98" s="459" t="s">
        <v>497</v>
      </c>
      <c r="C98" s="457">
        <v>0</v>
      </c>
      <c r="D98" s="460" t="str">
        <f>RevenueStreams!$E$21</f>
        <v>Per  Hr</v>
      </c>
      <c r="E98" s="461">
        <f>C98*RevenueStreams!$D$21</f>
        <v>0</v>
      </c>
      <c r="F98" s="457">
        <v>0</v>
      </c>
      <c r="G98" s="460" t="str">
        <f>RevenueStreams!$E$21</f>
        <v>Per  Hr</v>
      </c>
      <c r="H98" s="461">
        <f>F98*RevenueStreams!$D$21</f>
        <v>0</v>
      </c>
      <c r="I98" s="457">
        <v>0</v>
      </c>
      <c r="J98" s="460" t="str">
        <f>RevenueStreams!$E$21</f>
        <v>Per  Hr</v>
      </c>
      <c r="K98" s="461">
        <f>I98*RevenueStreams!$D$21</f>
        <v>0</v>
      </c>
      <c r="L98" s="457">
        <v>0</v>
      </c>
      <c r="M98" s="460" t="str">
        <f>RevenueStreams!$E$21</f>
        <v>Per  Hr</v>
      </c>
      <c r="N98" s="461">
        <f>L98*RevenueStreams!$D$21</f>
        <v>0</v>
      </c>
      <c r="O98" s="457">
        <v>0</v>
      </c>
      <c r="P98" s="460" t="str">
        <f>RevenueStreams!$E$21</f>
        <v>Per  Hr</v>
      </c>
      <c r="Q98" s="461">
        <f>O98*RevenueStreams!$D$21</f>
        <v>0</v>
      </c>
      <c r="R98" s="457">
        <v>0</v>
      </c>
      <c r="S98" s="460" t="str">
        <f>RevenueStreams!$E$21</f>
        <v>Per  Hr</v>
      </c>
      <c r="T98" s="461">
        <f>R98*RevenueStreams!$D$21</f>
        <v>0</v>
      </c>
      <c r="U98" s="457">
        <v>0</v>
      </c>
      <c r="V98" s="460" t="str">
        <f>RevenueStreams!$E$21</f>
        <v>Per  Hr</v>
      </c>
      <c r="W98" s="461">
        <f>U98*RevenueStreams!$D$21</f>
        <v>0</v>
      </c>
      <c r="X98" s="457">
        <v>0</v>
      </c>
      <c r="Y98" s="460" t="str">
        <f>RevenueStreams!$E$21</f>
        <v>Per  Hr</v>
      </c>
      <c r="Z98" s="461">
        <f>X98*RevenueStreams!$D$21</f>
        <v>0</v>
      </c>
      <c r="AA98" s="457">
        <v>0</v>
      </c>
      <c r="AB98" s="460" t="str">
        <f>RevenueStreams!$E$21</f>
        <v>Per  Hr</v>
      </c>
      <c r="AC98" s="461">
        <f>AA98*RevenueStreams!$D$21</f>
        <v>0</v>
      </c>
      <c r="AD98" s="457">
        <v>0</v>
      </c>
      <c r="AE98" s="460" t="str">
        <f>RevenueStreams!$E$21</f>
        <v>Per  Hr</v>
      </c>
      <c r="AF98" s="461">
        <f>AD98*RevenueStreams!$D$21</f>
        <v>0</v>
      </c>
      <c r="AG98" s="457">
        <v>0</v>
      </c>
      <c r="AH98" s="460" t="str">
        <f>RevenueStreams!$E$21</f>
        <v>Per  Hr</v>
      </c>
      <c r="AI98" s="461">
        <f>AG98*RevenueStreams!$D$21</f>
        <v>0</v>
      </c>
      <c r="AJ98" s="457">
        <v>0</v>
      </c>
      <c r="AK98" s="460" t="str">
        <f>RevenueStreams!$E$21</f>
        <v>Per  Hr</v>
      </c>
      <c r="AL98" s="461">
        <f>AJ98*RevenueStreams!$D$21</f>
        <v>0</v>
      </c>
    </row>
    <row r="99" spans="1:38" x14ac:dyDescent="0.35">
      <c r="A99" s="471">
        <f t="shared" si="5"/>
        <v>0</v>
      </c>
      <c r="B99" s="459" t="s">
        <v>498</v>
      </c>
      <c r="C99" s="457">
        <v>0</v>
      </c>
      <c r="D99" s="460" t="str">
        <f>RevenueStreams!$E$22</f>
        <v>Per  Hr</v>
      </c>
      <c r="E99" s="461">
        <f>C99*RevenueStreams!$D$22</f>
        <v>0</v>
      </c>
      <c r="F99" s="457">
        <v>0</v>
      </c>
      <c r="G99" s="460" t="str">
        <f>RevenueStreams!$E$22</f>
        <v>Per  Hr</v>
      </c>
      <c r="H99" s="461">
        <f>F99*RevenueStreams!$D$22</f>
        <v>0</v>
      </c>
      <c r="I99" s="457">
        <v>0</v>
      </c>
      <c r="J99" s="460" t="str">
        <f>RevenueStreams!$E$22</f>
        <v>Per  Hr</v>
      </c>
      <c r="K99" s="461">
        <f>I99*RevenueStreams!$D$22</f>
        <v>0</v>
      </c>
      <c r="L99" s="457">
        <v>0</v>
      </c>
      <c r="M99" s="460" t="str">
        <f>RevenueStreams!$E$22</f>
        <v>Per  Hr</v>
      </c>
      <c r="N99" s="461">
        <f>L99*RevenueStreams!$D$22</f>
        <v>0</v>
      </c>
      <c r="O99" s="457">
        <v>0</v>
      </c>
      <c r="P99" s="460" t="str">
        <f>RevenueStreams!$E$22</f>
        <v>Per  Hr</v>
      </c>
      <c r="Q99" s="461">
        <f>O99*RevenueStreams!$D$22</f>
        <v>0</v>
      </c>
      <c r="R99" s="457">
        <v>0</v>
      </c>
      <c r="S99" s="460" t="str">
        <f>RevenueStreams!$E$22</f>
        <v>Per  Hr</v>
      </c>
      <c r="T99" s="461">
        <f>R99*RevenueStreams!$D$22</f>
        <v>0</v>
      </c>
      <c r="U99" s="457">
        <v>0</v>
      </c>
      <c r="V99" s="460" t="str">
        <f>RevenueStreams!$E$22</f>
        <v>Per  Hr</v>
      </c>
      <c r="W99" s="461">
        <f>U99*RevenueStreams!$D$22</f>
        <v>0</v>
      </c>
      <c r="X99" s="457">
        <v>0</v>
      </c>
      <c r="Y99" s="460" t="str">
        <f>RevenueStreams!$E$22</f>
        <v>Per  Hr</v>
      </c>
      <c r="Z99" s="461">
        <f>X99*RevenueStreams!$D$22</f>
        <v>0</v>
      </c>
      <c r="AA99" s="457">
        <v>0</v>
      </c>
      <c r="AB99" s="460" t="str">
        <f>RevenueStreams!$E$22</f>
        <v>Per  Hr</v>
      </c>
      <c r="AC99" s="461">
        <f>AA99*RevenueStreams!$D$22</f>
        <v>0</v>
      </c>
      <c r="AD99" s="457">
        <v>0</v>
      </c>
      <c r="AE99" s="460" t="str">
        <f>RevenueStreams!$E$22</f>
        <v>Per  Hr</v>
      </c>
      <c r="AF99" s="461">
        <f>AD99*RevenueStreams!$D$22</f>
        <v>0</v>
      </c>
      <c r="AG99" s="457">
        <v>0</v>
      </c>
      <c r="AH99" s="460" t="str">
        <f>RevenueStreams!$E$22</f>
        <v>Per  Hr</v>
      </c>
      <c r="AI99" s="461">
        <f>AG99*RevenueStreams!$D$22</f>
        <v>0</v>
      </c>
      <c r="AJ99" s="457">
        <v>0</v>
      </c>
      <c r="AK99" s="460" t="str">
        <f>RevenueStreams!$E$22</f>
        <v>Per  Hr</v>
      </c>
      <c r="AL99" s="461">
        <f>AJ99*RevenueStreams!$D$22</f>
        <v>0</v>
      </c>
    </row>
    <row r="100" spans="1:38" x14ac:dyDescent="0.35">
      <c r="A100" s="471">
        <f t="shared" si="5"/>
        <v>300</v>
      </c>
      <c r="B100" s="459" t="s">
        <v>272</v>
      </c>
      <c r="C100" s="457">
        <v>1</v>
      </c>
      <c r="D100" s="460" t="str">
        <f>RevenueStreams!$E$23</f>
        <v>Per  Pallet</v>
      </c>
      <c r="E100" s="461">
        <f>C100*RevenueStreams!$D$23</f>
        <v>25</v>
      </c>
      <c r="F100" s="457">
        <v>1</v>
      </c>
      <c r="G100" s="460" t="str">
        <f>RevenueStreams!$E$23</f>
        <v>Per  Pallet</v>
      </c>
      <c r="H100" s="461">
        <f>F100*RevenueStreams!$D$23</f>
        <v>25</v>
      </c>
      <c r="I100" s="457">
        <v>1</v>
      </c>
      <c r="J100" s="460" t="str">
        <f>RevenueStreams!$E$23</f>
        <v>Per  Pallet</v>
      </c>
      <c r="K100" s="461">
        <f>I100*RevenueStreams!$D$23</f>
        <v>25</v>
      </c>
      <c r="L100" s="457">
        <v>1</v>
      </c>
      <c r="M100" s="460" t="str">
        <f>RevenueStreams!$E$23</f>
        <v>Per  Pallet</v>
      </c>
      <c r="N100" s="461">
        <f>L100*RevenueStreams!$D$23</f>
        <v>25</v>
      </c>
      <c r="O100" s="457">
        <v>1</v>
      </c>
      <c r="P100" s="460" t="str">
        <f>RevenueStreams!$E$23</f>
        <v>Per  Pallet</v>
      </c>
      <c r="Q100" s="461">
        <f>O100*RevenueStreams!$D$23</f>
        <v>25</v>
      </c>
      <c r="R100" s="457">
        <v>1</v>
      </c>
      <c r="S100" s="460" t="str">
        <f>RevenueStreams!$E$23</f>
        <v>Per  Pallet</v>
      </c>
      <c r="T100" s="461">
        <f>R100*RevenueStreams!$D$23</f>
        <v>25</v>
      </c>
      <c r="U100" s="457">
        <v>1</v>
      </c>
      <c r="V100" s="460" t="str">
        <f>RevenueStreams!$E$23</f>
        <v>Per  Pallet</v>
      </c>
      <c r="W100" s="461">
        <f>U100*RevenueStreams!$D$23</f>
        <v>25</v>
      </c>
      <c r="X100" s="457">
        <v>1</v>
      </c>
      <c r="Y100" s="460" t="str">
        <f>RevenueStreams!$E$23</f>
        <v>Per  Pallet</v>
      </c>
      <c r="Z100" s="461">
        <f>X100*RevenueStreams!$D$23</f>
        <v>25</v>
      </c>
      <c r="AA100" s="457">
        <v>1</v>
      </c>
      <c r="AB100" s="460" t="str">
        <f>RevenueStreams!$E$23</f>
        <v>Per  Pallet</v>
      </c>
      <c r="AC100" s="461">
        <f>AA100*RevenueStreams!$D$23</f>
        <v>25</v>
      </c>
      <c r="AD100" s="457">
        <v>1</v>
      </c>
      <c r="AE100" s="460" t="str">
        <f>RevenueStreams!$E$23</f>
        <v>Per  Pallet</v>
      </c>
      <c r="AF100" s="461">
        <f>AD100*RevenueStreams!$D$23</f>
        <v>25</v>
      </c>
      <c r="AG100" s="457">
        <v>1</v>
      </c>
      <c r="AH100" s="460" t="str">
        <f>RevenueStreams!$E$23</f>
        <v>Per  Pallet</v>
      </c>
      <c r="AI100" s="461">
        <f>AG100*RevenueStreams!$D$23</f>
        <v>25</v>
      </c>
      <c r="AJ100" s="457">
        <v>1</v>
      </c>
      <c r="AK100" s="460" t="str">
        <f>RevenueStreams!$E$23</f>
        <v>Per  Pallet</v>
      </c>
      <c r="AL100" s="461">
        <f>AJ100*RevenueStreams!$D$23</f>
        <v>25</v>
      </c>
    </row>
    <row r="101" spans="1:38" x14ac:dyDescent="0.35">
      <c r="A101" s="471">
        <f t="shared" si="5"/>
        <v>0</v>
      </c>
      <c r="B101" s="459" t="s">
        <v>490</v>
      </c>
      <c r="C101" s="457">
        <v>0</v>
      </c>
      <c r="D101" s="460" t="str">
        <f>RevenueStreams!$E$24</f>
        <v>Per  Pallet</v>
      </c>
      <c r="E101" s="461">
        <f>C101*RevenueStreams!$D$24</f>
        <v>0</v>
      </c>
      <c r="F101" s="457">
        <v>0</v>
      </c>
      <c r="G101" s="460" t="str">
        <f>RevenueStreams!$E$24</f>
        <v>Per  Pallet</v>
      </c>
      <c r="H101" s="461">
        <f>F101*RevenueStreams!$D$24</f>
        <v>0</v>
      </c>
      <c r="I101" s="457">
        <v>0</v>
      </c>
      <c r="J101" s="460" t="str">
        <f>RevenueStreams!$E$24</f>
        <v>Per  Pallet</v>
      </c>
      <c r="K101" s="461">
        <f>I101*RevenueStreams!$D$24</f>
        <v>0</v>
      </c>
      <c r="L101" s="457">
        <v>0</v>
      </c>
      <c r="M101" s="460" t="str">
        <f>RevenueStreams!$E$24</f>
        <v>Per  Pallet</v>
      </c>
      <c r="N101" s="461">
        <f>L101*RevenueStreams!$D$24</f>
        <v>0</v>
      </c>
      <c r="O101" s="457">
        <v>0</v>
      </c>
      <c r="P101" s="460" t="str">
        <f>RevenueStreams!$E$24</f>
        <v>Per  Pallet</v>
      </c>
      <c r="Q101" s="461">
        <f>O101*RevenueStreams!$D$24</f>
        <v>0</v>
      </c>
      <c r="R101" s="457">
        <v>0</v>
      </c>
      <c r="S101" s="460" t="str">
        <f>RevenueStreams!$E$24</f>
        <v>Per  Pallet</v>
      </c>
      <c r="T101" s="461">
        <f>R101*RevenueStreams!$D$24</f>
        <v>0</v>
      </c>
      <c r="U101" s="457">
        <v>0</v>
      </c>
      <c r="V101" s="460" t="str">
        <f>RevenueStreams!$E$24</f>
        <v>Per  Pallet</v>
      </c>
      <c r="W101" s="461">
        <f>U101*RevenueStreams!$D$24</f>
        <v>0</v>
      </c>
      <c r="X101" s="457">
        <v>0</v>
      </c>
      <c r="Y101" s="460" t="str">
        <f>RevenueStreams!$E$24</f>
        <v>Per  Pallet</v>
      </c>
      <c r="Z101" s="461">
        <f>X101*RevenueStreams!$D$24</f>
        <v>0</v>
      </c>
      <c r="AA101" s="457">
        <v>0</v>
      </c>
      <c r="AB101" s="460" t="str">
        <f>RevenueStreams!$E$24</f>
        <v>Per  Pallet</v>
      </c>
      <c r="AC101" s="461">
        <f>AA101*RevenueStreams!$D$24</f>
        <v>0</v>
      </c>
      <c r="AD101" s="457">
        <v>0</v>
      </c>
      <c r="AE101" s="460" t="str">
        <f>RevenueStreams!$E$24</f>
        <v>Per  Pallet</v>
      </c>
      <c r="AF101" s="461">
        <f>AD101*RevenueStreams!$D$24</f>
        <v>0</v>
      </c>
      <c r="AG101" s="457">
        <v>0</v>
      </c>
      <c r="AH101" s="460" t="str">
        <f>RevenueStreams!$E$24</f>
        <v>Per  Pallet</v>
      </c>
      <c r="AI101" s="461">
        <f>AG101*RevenueStreams!$D$24</f>
        <v>0</v>
      </c>
      <c r="AJ101" s="457">
        <v>0</v>
      </c>
      <c r="AK101" s="460" t="str">
        <f>RevenueStreams!$E$24</f>
        <v>Per  Pallet</v>
      </c>
      <c r="AL101" s="461">
        <f>AJ101*RevenueStreams!$D$24</f>
        <v>0</v>
      </c>
    </row>
    <row r="102" spans="1:38" x14ac:dyDescent="0.35">
      <c r="A102" s="471">
        <f t="shared" si="5"/>
        <v>540</v>
      </c>
      <c r="B102" s="459" t="s">
        <v>491</v>
      </c>
      <c r="C102" s="457">
        <v>1</v>
      </c>
      <c r="D102" s="460" t="str">
        <f>RevenueStreams!$E$25</f>
        <v>Per  Pallet</v>
      </c>
      <c r="E102" s="461">
        <f>C102*RevenueStreams!$D$25</f>
        <v>45</v>
      </c>
      <c r="F102" s="457">
        <v>1</v>
      </c>
      <c r="G102" s="460" t="str">
        <f>RevenueStreams!$E$25</f>
        <v>Per  Pallet</v>
      </c>
      <c r="H102" s="461">
        <f>F102*RevenueStreams!$D$25</f>
        <v>45</v>
      </c>
      <c r="I102" s="457">
        <v>1</v>
      </c>
      <c r="J102" s="460" t="str">
        <f>RevenueStreams!$E$25</f>
        <v>Per  Pallet</v>
      </c>
      <c r="K102" s="461">
        <f>I102*RevenueStreams!$D$25</f>
        <v>45</v>
      </c>
      <c r="L102" s="457">
        <v>1</v>
      </c>
      <c r="M102" s="460" t="str">
        <f>RevenueStreams!$E$25</f>
        <v>Per  Pallet</v>
      </c>
      <c r="N102" s="461">
        <f>L102*RevenueStreams!$D$25</f>
        <v>45</v>
      </c>
      <c r="O102" s="457">
        <v>1</v>
      </c>
      <c r="P102" s="460" t="str">
        <f>RevenueStreams!$E$25</f>
        <v>Per  Pallet</v>
      </c>
      <c r="Q102" s="461">
        <f>O102*RevenueStreams!$D$25</f>
        <v>45</v>
      </c>
      <c r="R102" s="457">
        <v>1</v>
      </c>
      <c r="S102" s="460" t="str">
        <f>RevenueStreams!$E$25</f>
        <v>Per  Pallet</v>
      </c>
      <c r="T102" s="461">
        <f>R102*RevenueStreams!$D$25</f>
        <v>45</v>
      </c>
      <c r="U102" s="457">
        <v>1</v>
      </c>
      <c r="V102" s="460" t="str">
        <f>RevenueStreams!$E$25</f>
        <v>Per  Pallet</v>
      </c>
      <c r="W102" s="461">
        <f>U102*RevenueStreams!$D$25</f>
        <v>45</v>
      </c>
      <c r="X102" s="457">
        <v>1</v>
      </c>
      <c r="Y102" s="460" t="str">
        <f>RevenueStreams!$E$25</f>
        <v>Per  Pallet</v>
      </c>
      <c r="Z102" s="461">
        <f>X102*RevenueStreams!$D$25</f>
        <v>45</v>
      </c>
      <c r="AA102" s="457">
        <v>1</v>
      </c>
      <c r="AB102" s="460" t="str">
        <f>RevenueStreams!$E$25</f>
        <v>Per  Pallet</v>
      </c>
      <c r="AC102" s="461">
        <f>AA102*RevenueStreams!$D$25</f>
        <v>45</v>
      </c>
      <c r="AD102" s="457">
        <v>1</v>
      </c>
      <c r="AE102" s="460" t="str">
        <f>RevenueStreams!$E$25</f>
        <v>Per  Pallet</v>
      </c>
      <c r="AF102" s="461">
        <f>AD102*RevenueStreams!$D$25</f>
        <v>45</v>
      </c>
      <c r="AG102" s="457">
        <v>1</v>
      </c>
      <c r="AH102" s="460" t="str">
        <f>RevenueStreams!$E$25</f>
        <v>Per  Pallet</v>
      </c>
      <c r="AI102" s="461">
        <f>AG102*RevenueStreams!$D$25</f>
        <v>45</v>
      </c>
      <c r="AJ102" s="457">
        <v>1</v>
      </c>
      <c r="AK102" s="460" t="str">
        <f>RevenueStreams!$E$25</f>
        <v>Per  Pallet</v>
      </c>
      <c r="AL102" s="461">
        <f>AJ102*RevenueStreams!$D$25</f>
        <v>45</v>
      </c>
    </row>
    <row r="103" spans="1:38" x14ac:dyDescent="0.35">
      <c r="A103" s="471">
        <f t="shared" si="5"/>
        <v>6240</v>
      </c>
      <c r="B103" s="459" t="s">
        <v>519</v>
      </c>
      <c r="C103" s="457">
        <f>3*8*2</f>
        <v>48</v>
      </c>
      <c r="D103" s="460" t="str">
        <f>RevenueStreams!$E$26</f>
        <v>Per Hr</v>
      </c>
      <c r="E103" s="461">
        <f>C103*RevenueStreams!$D$26</f>
        <v>480</v>
      </c>
      <c r="F103" s="457">
        <f>3*8*2</f>
        <v>48</v>
      </c>
      <c r="G103" s="460" t="str">
        <f>RevenueStreams!$E$26</f>
        <v>Per Hr</v>
      </c>
      <c r="H103" s="461">
        <f>F103*RevenueStreams!$D$26</f>
        <v>480</v>
      </c>
      <c r="I103" s="457">
        <f>3*8*2</f>
        <v>48</v>
      </c>
      <c r="J103" s="460" t="str">
        <f>RevenueStreams!$E$26</f>
        <v>Per Hr</v>
      </c>
      <c r="K103" s="461">
        <f>I103*RevenueStreams!$D$26</f>
        <v>480</v>
      </c>
      <c r="L103" s="457">
        <f>3*8*4</f>
        <v>96</v>
      </c>
      <c r="M103" s="460" t="str">
        <f>RevenueStreams!$E$26</f>
        <v>Per Hr</v>
      </c>
      <c r="N103" s="461">
        <f>L103*RevenueStreams!$D$26</f>
        <v>960</v>
      </c>
      <c r="O103" s="457">
        <f>3*8*4</f>
        <v>96</v>
      </c>
      <c r="P103" s="460" t="str">
        <f>RevenueStreams!$E$26</f>
        <v>Per Hr</v>
      </c>
      <c r="Q103" s="461">
        <f>O103*RevenueStreams!$D$26</f>
        <v>960</v>
      </c>
      <c r="R103" s="457">
        <f>3*8*4</f>
        <v>96</v>
      </c>
      <c r="S103" s="460" t="str">
        <f>RevenueStreams!$E$26</f>
        <v>Per Hr</v>
      </c>
      <c r="T103" s="461">
        <f>R103*RevenueStreams!$D$26</f>
        <v>960</v>
      </c>
      <c r="U103" s="457">
        <f>3*8*3</f>
        <v>72</v>
      </c>
      <c r="V103" s="460" t="str">
        <f>RevenueStreams!$E$26</f>
        <v>Per Hr</v>
      </c>
      <c r="W103" s="461">
        <f>U103*RevenueStreams!$D$26</f>
        <v>720</v>
      </c>
      <c r="X103" s="457">
        <v>24</v>
      </c>
      <c r="Y103" s="460" t="str">
        <f>RevenueStreams!$E$26</f>
        <v>Per Hr</v>
      </c>
      <c r="Z103" s="461">
        <f>X103*RevenueStreams!$D$26</f>
        <v>240</v>
      </c>
      <c r="AA103" s="457">
        <v>24</v>
      </c>
      <c r="AB103" s="460" t="str">
        <f>RevenueStreams!$E$26</f>
        <v>Per Hr</v>
      </c>
      <c r="AC103" s="461">
        <f>AA103*RevenueStreams!$D$26</f>
        <v>240</v>
      </c>
      <c r="AD103" s="457">
        <v>24</v>
      </c>
      <c r="AE103" s="460" t="str">
        <f>RevenueStreams!$E$26</f>
        <v>Per Hr</v>
      </c>
      <c r="AF103" s="461">
        <f>AD103*RevenueStreams!$D$26</f>
        <v>240</v>
      </c>
      <c r="AG103" s="457">
        <v>24</v>
      </c>
      <c r="AH103" s="460" t="str">
        <f>RevenueStreams!$E$26</f>
        <v>Per Hr</v>
      </c>
      <c r="AI103" s="461">
        <f>AG103*RevenueStreams!$D$26</f>
        <v>240</v>
      </c>
      <c r="AJ103" s="457">
        <v>24</v>
      </c>
      <c r="AK103" s="460" t="str">
        <f>RevenueStreams!$E$26</f>
        <v>Per Hr</v>
      </c>
      <c r="AL103" s="461">
        <f>AJ103*RevenueStreams!$D$26</f>
        <v>240</v>
      </c>
    </row>
    <row r="104" spans="1:38" x14ac:dyDescent="0.35">
      <c r="A104" s="471">
        <f t="shared" si="5"/>
        <v>4080</v>
      </c>
      <c r="B104" s="459" t="s">
        <v>492</v>
      </c>
      <c r="C104" s="457">
        <f>3*8*2</f>
        <v>48</v>
      </c>
      <c r="D104" s="460" t="str">
        <f>RevenueStreams!$E$27</f>
        <v>Per Hr</v>
      </c>
      <c r="E104" s="461">
        <f>C104*RevenueStreams!$D$27</f>
        <v>480</v>
      </c>
      <c r="F104" s="457">
        <f>3*8*2</f>
        <v>48</v>
      </c>
      <c r="G104" s="460" t="str">
        <f>RevenueStreams!$E$27</f>
        <v>Per Hr</v>
      </c>
      <c r="H104" s="461">
        <f>F104*RevenueStreams!$D$27</f>
        <v>480</v>
      </c>
      <c r="I104" s="457">
        <f>3*8*2</f>
        <v>48</v>
      </c>
      <c r="J104" s="460" t="str">
        <f>RevenueStreams!$E$27</f>
        <v>Per Hr</v>
      </c>
      <c r="K104" s="461">
        <f>I104*RevenueStreams!$D$27</f>
        <v>480</v>
      </c>
      <c r="L104" s="457">
        <f>3*8*2</f>
        <v>48</v>
      </c>
      <c r="M104" s="460" t="str">
        <f>RevenueStreams!$E$27</f>
        <v>Per Hr</v>
      </c>
      <c r="N104" s="461">
        <f>L104*RevenueStreams!$D$27</f>
        <v>480</v>
      </c>
      <c r="O104" s="457">
        <f>3*8*2</f>
        <v>48</v>
      </c>
      <c r="P104" s="460" t="str">
        <f>RevenueStreams!$E$27</f>
        <v>Per Hr</v>
      </c>
      <c r="Q104" s="461">
        <f>O104*RevenueStreams!$D$27</f>
        <v>480</v>
      </c>
      <c r="R104" s="457">
        <v>24</v>
      </c>
      <c r="S104" s="460" t="str">
        <f>RevenueStreams!$E$27</f>
        <v>Per Hr</v>
      </c>
      <c r="T104" s="461">
        <f>R104*RevenueStreams!$D$27</f>
        <v>240</v>
      </c>
      <c r="U104" s="457">
        <v>24</v>
      </c>
      <c r="V104" s="460" t="str">
        <f>RevenueStreams!$E$27</f>
        <v>Per Hr</v>
      </c>
      <c r="W104" s="461">
        <f>U104*RevenueStreams!$D$27</f>
        <v>240</v>
      </c>
      <c r="X104" s="457">
        <v>24</v>
      </c>
      <c r="Y104" s="460" t="str">
        <f>RevenueStreams!$E$27</f>
        <v>Per Hr</v>
      </c>
      <c r="Z104" s="461">
        <f>X104*RevenueStreams!$D$27</f>
        <v>240</v>
      </c>
      <c r="AA104" s="457">
        <v>24</v>
      </c>
      <c r="AB104" s="460" t="str">
        <f>RevenueStreams!$E$27</f>
        <v>Per Hr</v>
      </c>
      <c r="AC104" s="461">
        <f>AA104*RevenueStreams!$D$27</f>
        <v>240</v>
      </c>
      <c r="AD104" s="457">
        <v>24</v>
      </c>
      <c r="AE104" s="460" t="str">
        <f>RevenueStreams!$E$27</f>
        <v>Per Hr</v>
      </c>
      <c r="AF104" s="461">
        <f>AD104*RevenueStreams!$D$27</f>
        <v>240</v>
      </c>
      <c r="AG104" s="457">
        <v>24</v>
      </c>
      <c r="AH104" s="460" t="str">
        <f>RevenueStreams!$E$27</f>
        <v>Per Hr</v>
      </c>
      <c r="AI104" s="461">
        <f>AG104*RevenueStreams!$D$27</f>
        <v>240</v>
      </c>
      <c r="AJ104" s="457">
        <v>24</v>
      </c>
      <c r="AK104" s="460" t="str">
        <f>RevenueStreams!$E$27</f>
        <v>Per Hr</v>
      </c>
      <c r="AL104" s="461">
        <f>AJ104*RevenueStreams!$D$27</f>
        <v>240</v>
      </c>
    </row>
    <row r="105" spans="1:38" x14ac:dyDescent="0.35">
      <c r="A105" s="471">
        <f t="shared" si="5"/>
        <v>0</v>
      </c>
      <c r="B105" s="459" t="s">
        <v>502</v>
      </c>
      <c r="C105" s="457">
        <v>0</v>
      </c>
      <c r="D105" s="460" t="str">
        <f>RevenueStreams!$E$29</f>
        <v>Per Hr</v>
      </c>
      <c r="E105" s="461">
        <f>C105*RevenueStreams!$D$29</f>
        <v>0</v>
      </c>
      <c r="F105" s="457">
        <v>0</v>
      </c>
      <c r="G105" s="460" t="str">
        <f>RevenueStreams!$E$29</f>
        <v>Per Hr</v>
      </c>
      <c r="H105" s="461">
        <f>F105*RevenueStreams!$D$29</f>
        <v>0</v>
      </c>
      <c r="I105" s="457">
        <v>0</v>
      </c>
      <c r="J105" s="460" t="str">
        <f>RevenueStreams!$E$29</f>
        <v>Per Hr</v>
      </c>
      <c r="K105" s="461">
        <f>I105*RevenueStreams!$D$29</f>
        <v>0</v>
      </c>
      <c r="L105" s="457">
        <v>0</v>
      </c>
      <c r="M105" s="460" t="str">
        <f>RevenueStreams!$E$29</f>
        <v>Per Hr</v>
      </c>
      <c r="N105" s="461">
        <f>L105*RevenueStreams!$D$29</f>
        <v>0</v>
      </c>
      <c r="O105" s="457">
        <v>0</v>
      </c>
      <c r="P105" s="460" t="str">
        <f>RevenueStreams!$E$29</f>
        <v>Per Hr</v>
      </c>
      <c r="Q105" s="461">
        <f>O105*RevenueStreams!$D$29</f>
        <v>0</v>
      </c>
      <c r="R105" s="457">
        <v>0</v>
      </c>
      <c r="S105" s="460" t="str">
        <f>RevenueStreams!$E$29</f>
        <v>Per Hr</v>
      </c>
      <c r="T105" s="461">
        <f>R105*RevenueStreams!$D$29</f>
        <v>0</v>
      </c>
      <c r="U105" s="457">
        <v>0</v>
      </c>
      <c r="V105" s="460" t="str">
        <f>RevenueStreams!$E$29</f>
        <v>Per Hr</v>
      </c>
      <c r="W105" s="461">
        <f>U105*RevenueStreams!$D$29</f>
        <v>0</v>
      </c>
      <c r="X105" s="457">
        <v>0</v>
      </c>
      <c r="Y105" s="460" t="str">
        <f>RevenueStreams!$E$29</f>
        <v>Per Hr</v>
      </c>
      <c r="Z105" s="461">
        <f>X105*RevenueStreams!$D$29</f>
        <v>0</v>
      </c>
      <c r="AA105" s="457">
        <v>0</v>
      </c>
      <c r="AB105" s="460" t="str">
        <f>RevenueStreams!$E$29</f>
        <v>Per Hr</v>
      </c>
      <c r="AC105" s="461">
        <f>AA105*RevenueStreams!$D$29</f>
        <v>0</v>
      </c>
      <c r="AD105" s="457">
        <v>0</v>
      </c>
      <c r="AE105" s="460" t="str">
        <f>RevenueStreams!$E$29</f>
        <v>Per Hr</v>
      </c>
      <c r="AF105" s="461">
        <f>AD105*RevenueStreams!$D$29</f>
        <v>0</v>
      </c>
      <c r="AG105" s="457">
        <v>0</v>
      </c>
      <c r="AH105" s="460" t="str">
        <f>RevenueStreams!$E$29</f>
        <v>Per Hr</v>
      </c>
      <c r="AI105" s="461">
        <f>AG105*RevenueStreams!$D$29</f>
        <v>0</v>
      </c>
      <c r="AJ105" s="457">
        <v>0</v>
      </c>
      <c r="AK105" s="460" t="str">
        <f>RevenueStreams!$E$29</f>
        <v>Per Hr</v>
      </c>
      <c r="AL105" s="461">
        <f>AJ105*RevenueStreams!$D$29</f>
        <v>0</v>
      </c>
    </row>
    <row r="106" spans="1:38" x14ac:dyDescent="0.35">
      <c r="A106" s="471">
        <f t="shared" si="5"/>
        <v>0</v>
      </c>
      <c r="B106" s="459" t="s">
        <v>503</v>
      </c>
      <c r="C106" s="457">
        <v>0</v>
      </c>
      <c r="D106" s="460" t="str">
        <f>RevenueStreams!$E$30</f>
        <v>Per Hr</v>
      </c>
      <c r="E106" s="461">
        <f>C106*RevenueStreams!$D$30</f>
        <v>0</v>
      </c>
      <c r="F106" s="457">
        <v>0</v>
      </c>
      <c r="G106" s="460" t="str">
        <f>RevenueStreams!$E$30</f>
        <v>Per Hr</v>
      </c>
      <c r="H106" s="461">
        <f>F106*RevenueStreams!$D$30</f>
        <v>0</v>
      </c>
      <c r="I106" s="457">
        <v>0</v>
      </c>
      <c r="J106" s="460" t="str">
        <f>RevenueStreams!$E$30</f>
        <v>Per Hr</v>
      </c>
      <c r="K106" s="461">
        <f>I106*RevenueStreams!$D$30</f>
        <v>0</v>
      </c>
      <c r="L106" s="457">
        <v>0</v>
      </c>
      <c r="M106" s="460" t="str">
        <f>RevenueStreams!$E$30</f>
        <v>Per Hr</v>
      </c>
      <c r="N106" s="461">
        <f>L106*RevenueStreams!$D$30</f>
        <v>0</v>
      </c>
      <c r="O106" s="457">
        <v>0</v>
      </c>
      <c r="P106" s="460" t="str">
        <f>RevenueStreams!$E$30</f>
        <v>Per Hr</v>
      </c>
      <c r="Q106" s="461">
        <f>O106*RevenueStreams!$D$30</f>
        <v>0</v>
      </c>
      <c r="R106" s="457">
        <v>0</v>
      </c>
      <c r="S106" s="460" t="str">
        <f>RevenueStreams!$E$30</f>
        <v>Per Hr</v>
      </c>
      <c r="T106" s="461">
        <f>R106*RevenueStreams!$D$30</f>
        <v>0</v>
      </c>
      <c r="U106" s="457">
        <v>0</v>
      </c>
      <c r="V106" s="460" t="str">
        <f>RevenueStreams!$E$30</f>
        <v>Per Hr</v>
      </c>
      <c r="W106" s="461">
        <f>U106*RevenueStreams!$D$30</f>
        <v>0</v>
      </c>
      <c r="X106" s="457">
        <v>0</v>
      </c>
      <c r="Y106" s="460" t="str">
        <f>RevenueStreams!$E$30</f>
        <v>Per Hr</v>
      </c>
      <c r="Z106" s="461">
        <f>X106*RevenueStreams!$D$30</f>
        <v>0</v>
      </c>
      <c r="AA106" s="457">
        <v>0</v>
      </c>
      <c r="AB106" s="460" t="str">
        <f>RevenueStreams!$E$30</f>
        <v>Per Hr</v>
      </c>
      <c r="AC106" s="461">
        <f>AA106*RevenueStreams!$D$30</f>
        <v>0</v>
      </c>
      <c r="AD106" s="457">
        <v>0</v>
      </c>
      <c r="AE106" s="460" t="str">
        <f>RevenueStreams!$E$30</f>
        <v>Per Hr</v>
      </c>
      <c r="AF106" s="461">
        <f>AD106*RevenueStreams!$D$30</f>
        <v>0</v>
      </c>
      <c r="AG106" s="457">
        <v>0</v>
      </c>
      <c r="AH106" s="460" t="str">
        <f>RevenueStreams!$E$30</f>
        <v>Per Hr</v>
      </c>
      <c r="AI106" s="461">
        <f>AG106*RevenueStreams!$D$30</f>
        <v>0</v>
      </c>
      <c r="AJ106" s="457">
        <v>0</v>
      </c>
      <c r="AK106" s="460" t="str">
        <f>RevenueStreams!$E$30</f>
        <v>Per Hr</v>
      </c>
      <c r="AL106" s="461">
        <f>AJ106*RevenueStreams!$D$30</f>
        <v>0</v>
      </c>
    </row>
    <row r="107" spans="1:38" x14ac:dyDescent="0.35">
      <c r="A107" s="471">
        <f t="shared" si="5"/>
        <v>0</v>
      </c>
      <c r="B107" s="459" t="s">
        <v>507</v>
      </c>
      <c r="C107" s="457">
        <v>0</v>
      </c>
      <c r="D107" s="460" t="str">
        <f>RevenueStreams!$E$31</f>
        <v>Per Hr</v>
      </c>
      <c r="E107" s="461">
        <f>C107*RevenueStreams!$D$31</f>
        <v>0</v>
      </c>
      <c r="F107" s="457">
        <v>0</v>
      </c>
      <c r="G107" s="460" t="str">
        <f>RevenueStreams!$E$31</f>
        <v>Per Hr</v>
      </c>
      <c r="H107" s="461">
        <f>F107*RevenueStreams!$D$31</f>
        <v>0</v>
      </c>
      <c r="I107" s="457">
        <v>0</v>
      </c>
      <c r="J107" s="460" t="str">
        <f>RevenueStreams!$E$31</f>
        <v>Per Hr</v>
      </c>
      <c r="K107" s="461">
        <f>I107*RevenueStreams!$D$31</f>
        <v>0</v>
      </c>
      <c r="L107" s="457">
        <v>0</v>
      </c>
      <c r="M107" s="460" t="str">
        <f>RevenueStreams!$E$31</f>
        <v>Per Hr</v>
      </c>
      <c r="N107" s="461">
        <f>L107*RevenueStreams!$D$31</f>
        <v>0</v>
      </c>
      <c r="O107" s="457">
        <v>0</v>
      </c>
      <c r="P107" s="460" t="str">
        <f>RevenueStreams!$E$31</f>
        <v>Per Hr</v>
      </c>
      <c r="Q107" s="461">
        <f>O107*RevenueStreams!$D$31</f>
        <v>0</v>
      </c>
      <c r="R107" s="457">
        <v>0</v>
      </c>
      <c r="S107" s="460" t="str">
        <f>RevenueStreams!$E$31</f>
        <v>Per Hr</v>
      </c>
      <c r="T107" s="461">
        <f>R107*RevenueStreams!$D$31</f>
        <v>0</v>
      </c>
      <c r="U107" s="457">
        <v>0</v>
      </c>
      <c r="V107" s="460" t="str">
        <f>RevenueStreams!$E$31</f>
        <v>Per Hr</v>
      </c>
      <c r="W107" s="461">
        <f>U107*RevenueStreams!$D$31</f>
        <v>0</v>
      </c>
      <c r="X107" s="457">
        <v>0</v>
      </c>
      <c r="Y107" s="460" t="str">
        <f>RevenueStreams!$E$31</f>
        <v>Per Hr</v>
      </c>
      <c r="Z107" s="461">
        <f>X107*RevenueStreams!$D$31</f>
        <v>0</v>
      </c>
      <c r="AA107" s="457">
        <v>0</v>
      </c>
      <c r="AB107" s="460" t="str">
        <f>RevenueStreams!$E$31</f>
        <v>Per Hr</v>
      </c>
      <c r="AC107" s="461">
        <f>AA107*RevenueStreams!$D$31</f>
        <v>0</v>
      </c>
      <c r="AD107" s="457">
        <v>0</v>
      </c>
      <c r="AE107" s="460" t="str">
        <f>RevenueStreams!$E$31</f>
        <v>Per Hr</v>
      </c>
      <c r="AF107" s="461">
        <f>AD107*RevenueStreams!$D$31</f>
        <v>0</v>
      </c>
      <c r="AG107" s="457">
        <v>0</v>
      </c>
      <c r="AH107" s="460" t="str">
        <f>RevenueStreams!$E$31</f>
        <v>Per Hr</v>
      </c>
      <c r="AI107" s="461">
        <f>AG107*RevenueStreams!$D$31</f>
        <v>0</v>
      </c>
      <c r="AJ107" s="457">
        <v>0</v>
      </c>
      <c r="AK107" s="460" t="str">
        <f>RevenueStreams!$E$31</f>
        <v>Per Hr</v>
      </c>
      <c r="AL107" s="461">
        <f>AJ107*RevenueStreams!$D$31</f>
        <v>0</v>
      </c>
    </row>
    <row r="108" spans="1:38" x14ac:dyDescent="0.35">
      <c r="A108" s="471">
        <f t="shared" si="5"/>
        <v>0</v>
      </c>
      <c r="B108" s="459" t="s">
        <v>506</v>
      </c>
      <c r="C108" s="457">
        <v>0</v>
      </c>
      <c r="D108" s="460" t="str">
        <f>RevenueStreams!$E$32</f>
        <v>Per Hr</v>
      </c>
      <c r="E108" s="461">
        <f>C108*RevenueStreams!$D$32</f>
        <v>0</v>
      </c>
      <c r="F108" s="457">
        <v>0</v>
      </c>
      <c r="G108" s="460" t="str">
        <f>RevenueStreams!$E$32</f>
        <v>Per Hr</v>
      </c>
      <c r="H108" s="461">
        <f>F108*RevenueStreams!$D$32</f>
        <v>0</v>
      </c>
      <c r="I108" s="457">
        <v>0</v>
      </c>
      <c r="J108" s="460" t="str">
        <f>RevenueStreams!$E$32</f>
        <v>Per Hr</v>
      </c>
      <c r="K108" s="461">
        <f>I108*RevenueStreams!$D$32</f>
        <v>0</v>
      </c>
      <c r="L108" s="457">
        <v>0</v>
      </c>
      <c r="M108" s="460" t="str">
        <f>RevenueStreams!$E$32</f>
        <v>Per Hr</v>
      </c>
      <c r="N108" s="461">
        <f>L108*RevenueStreams!$D$32</f>
        <v>0</v>
      </c>
      <c r="O108" s="457">
        <v>0</v>
      </c>
      <c r="P108" s="460" t="str">
        <f>RevenueStreams!$E$32</f>
        <v>Per Hr</v>
      </c>
      <c r="Q108" s="461">
        <f>O108*RevenueStreams!$D$32</f>
        <v>0</v>
      </c>
      <c r="R108" s="457">
        <v>0</v>
      </c>
      <c r="S108" s="460" t="str">
        <f>RevenueStreams!$E$32</f>
        <v>Per Hr</v>
      </c>
      <c r="T108" s="461">
        <f>R108*RevenueStreams!$D$32</f>
        <v>0</v>
      </c>
      <c r="U108" s="457">
        <v>0</v>
      </c>
      <c r="V108" s="460" t="str">
        <f>RevenueStreams!$E$32</f>
        <v>Per Hr</v>
      </c>
      <c r="W108" s="461">
        <f>U108*RevenueStreams!$D$32</f>
        <v>0</v>
      </c>
      <c r="X108" s="457">
        <v>0</v>
      </c>
      <c r="Y108" s="460" t="str">
        <f>RevenueStreams!$E$32</f>
        <v>Per Hr</v>
      </c>
      <c r="Z108" s="461">
        <f>X108*RevenueStreams!$D$32</f>
        <v>0</v>
      </c>
      <c r="AA108" s="457">
        <v>0</v>
      </c>
      <c r="AB108" s="460" t="str">
        <f>RevenueStreams!$E$32</f>
        <v>Per Hr</v>
      </c>
      <c r="AC108" s="461">
        <f>AA108*RevenueStreams!$D$32</f>
        <v>0</v>
      </c>
      <c r="AD108" s="457">
        <v>0</v>
      </c>
      <c r="AE108" s="460" t="str">
        <f>RevenueStreams!$E$32</f>
        <v>Per Hr</v>
      </c>
      <c r="AF108" s="461">
        <f>AD108*RevenueStreams!$D$32</f>
        <v>0</v>
      </c>
      <c r="AG108" s="457">
        <v>0</v>
      </c>
      <c r="AH108" s="460" t="str">
        <f>RevenueStreams!$E$32</f>
        <v>Per Hr</v>
      </c>
      <c r="AI108" s="461">
        <f>AG108*RevenueStreams!$D$32</f>
        <v>0</v>
      </c>
      <c r="AJ108" s="457">
        <v>0</v>
      </c>
      <c r="AK108" s="460" t="str">
        <f>RevenueStreams!$E$32</f>
        <v>Per Hr</v>
      </c>
      <c r="AL108" s="461">
        <f>AJ108*RevenueStreams!$D$32</f>
        <v>0</v>
      </c>
    </row>
    <row r="109" spans="1:38" x14ac:dyDescent="0.35">
      <c r="A109" s="471">
        <f t="shared" si="5"/>
        <v>5949.9519999999984</v>
      </c>
      <c r="B109" s="459" t="s">
        <v>508</v>
      </c>
      <c r="C109" s="457">
        <f>8*2*2</f>
        <v>32</v>
      </c>
      <c r="D109" s="460" t="str">
        <f>RevenueStreams!$E$33</f>
        <v>Per Hr</v>
      </c>
      <c r="E109" s="461">
        <f>C109*RevenueStreams!$D$33</f>
        <v>495.82933333333335</v>
      </c>
      <c r="F109" s="457">
        <f>8*2*2</f>
        <v>32</v>
      </c>
      <c r="G109" s="460" t="str">
        <f>RevenueStreams!$E$33</f>
        <v>Per Hr</v>
      </c>
      <c r="H109" s="461">
        <f>F109*RevenueStreams!$D$33</f>
        <v>495.82933333333335</v>
      </c>
      <c r="I109" s="457">
        <f>8*2*2</f>
        <v>32</v>
      </c>
      <c r="J109" s="460" t="str">
        <f>RevenueStreams!$E$33</f>
        <v>Per Hr</v>
      </c>
      <c r="K109" s="461">
        <f>I109*RevenueStreams!$D$33</f>
        <v>495.82933333333335</v>
      </c>
      <c r="L109" s="457">
        <f>8*2*2</f>
        <v>32</v>
      </c>
      <c r="M109" s="460" t="str">
        <f>RevenueStreams!$E$33</f>
        <v>Per Hr</v>
      </c>
      <c r="N109" s="461">
        <f>L109*RevenueStreams!$D$33</f>
        <v>495.82933333333335</v>
      </c>
      <c r="O109" s="457">
        <f>8*2*2</f>
        <v>32</v>
      </c>
      <c r="P109" s="460" t="str">
        <f>RevenueStreams!$E$33</f>
        <v>Per Hr</v>
      </c>
      <c r="Q109" s="461">
        <f>O109*RevenueStreams!$D$33</f>
        <v>495.82933333333335</v>
      </c>
      <c r="R109" s="457">
        <f>8*2*2</f>
        <v>32</v>
      </c>
      <c r="S109" s="460" t="str">
        <f>RevenueStreams!$E$33</f>
        <v>Per Hr</v>
      </c>
      <c r="T109" s="461">
        <f>R109*RevenueStreams!$D$33</f>
        <v>495.82933333333335</v>
      </c>
      <c r="U109" s="457">
        <f>8*2*2</f>
        <v>32</v>
      </c>
      <c r="V109" s="460" t="str">
        <f>RevenueStreams!$E$33</f>
        <v>Per Hr</v>
      </c>
      <c r="W109" s="461">
        <f>U109*RevenueStreams!$D$33</f>
        <v>495.82933333333335</v>
      </c>
      <c r="X109" s="457">
        <f>8*2*2</f>
        <v>32</v>
      </c>
      <c r="Y109" s="460" t="str">
        <f>RevenueStreams!$E$33</f>
        <v>Per Hr</v>
      </c>
      <c r="Z109" s="461">
        <f>X109*RevenueStreams!$D$33</f>
        <v>495.82933333333335</v>
      </c>
      <c r="AA109" s="457">
        <f>8*2*2</f>
        <v>32</v>
      </c>
      <c r="AB109" s="460" t="str">
        <f>RevenueStreams!$E$33</f>
        <v>Per Hr</v>
      </c>
      <c r="AC109" s="461">
        <f>AA109*RevenueStreams!$D$33</f>
        <v>495.82933333333335</v>
      </c>
      <c r="AD109" s="457">
        <f>8*2*2</f>
        <v>32</v>
      </c>
      <c r="AE109" s="460" t="str">
        <f>RevenueStreams!$E$33</f>
        <v>Per Hr</v>
      </c>
      <c r="AF109" s="461">
        <f>AD109*RevenueStreams!$D$33</f>
        <v>495.82933333333335</v>
      </c>
      <c r="AG109" s="457">
        <f>8*2*2</f>
        <v>32</v>
      </c>
      <c r="AH109" s="460" t="str">
        <f>RevenueStreams!$E$33</f>
        <v>Per Hr</v>
      </c>
      <c r="AI109" s="461">
        <f>AG109*RevenueStreams!$D$33</f>
        <v>495.82933333333335</v>
      </c>
      <c r="AJ109" s="457">
        <f>8*2*2</f>
        <v>32</v>
      </c>
      <c r="AK109" s="460" t="str">
        <f>RevenueStreams!$E$33</f>
        <v>Per Hr</v>
      </c>
      <c r="AL109" s="461">
        <f>AJ109*RevenueStreams!$D$33</f>
        <v>495.82933333333335</v>
      </c>
    </row>
    <row r="110" spans="1:38" x14ac:dyDescent="0.35">
      <c r="A110" s="471">
        <f>SUM(E110,H110,K110,N110,Q110,T110,W110,Z110,AC110,AF110,AI110,AL110)</f>
        <v>9600</v>
      </c>
      <c r="B110" s="459" t="s">
        <v>520</v>
      </c>
      <c r="C110" s="457">
        <f>1*8*2</f>
        <v>16</v>
      </c>
      <c r="D110" s="460" t="str">
        <f>RevenueStreams!$E$34</f>
        <v>Per Hr</v>
      </c>
      <c r="E110" s="461">
        <f>C110*RevenueStreams!$D$34</f>
        <v>800</v>
      </c>
      <c r="F110" s="457">
        <f>1*8*2</f>
        <v>16</v>
      </c>
      <c r="G110" s="460" t="str">
        <f>RevenueStreams!$E$34</f>
        <v>Per Hr</v>
      </c>
      <c r="H110" s="461">
        <f>F110*RevenueStreams!$D$34</f>
        <v>800</v>
      </c>
      <c r="I110" s="457">
        <f>1*8*2</f>
        <v>16</v>
      </c>
      <c r="J110" s="460" t="str">
        <f>RevenueStreams!$E$34</f>
        <v>Per Hr</v>
      </c>
      <c r="K110" s="461">
        <f>I110*RevenueStreams!$D$34</f>
        <v>800</v>
      </c>
      <c r="L110" s="457">
        <f>1*8*2</f>
        <v>16</v>
      </c>
      <c r="M110" s="460" t="str">
        <f>RevenueStreams!$E$34</f>
        <v>Per Hr</v>
      </c>
      <c r="N110" s="461">
        <f>L110*RevenueStreams!$D$34</f>
        <v>800</v>
      </c>
      <c r="O110" s="457">
        <f>1*8*2</f>
        <v>16</v>
      </c>
      <c r="P110" s="460" t="str">
        <f>RevenueStreams!$E$34</f>
        <v>Per Hr</v>
      </c>
      <c r="Q110" s="461">
        <f>O110*RevenueStreams!$D$34</f>
        <v>800</v>
      </c>
      <c r="R110" s="457">
        <f>1*8*2</f>
        <v>16</v>
      </c>
      <c r="S110" s="460" t="str">
        <f>RevenueStreams!$E$34</f>
        <v>Per Hr</v>
      </c>
      <c r="T110" s="461">
        <f>R110*RevenueStreams!$D$34</f>
        <v>800</v>
      </c>
      <c r="U110" s="457">
        <f>1*8*2</f>
        <v>16</v>
      </c>
      <c r="V110" s="460" t="str">
        <f>RevenueStreams!$E$34</f>
        <v>Per Hr</v>
      </c>
      <c r="W110" s="461">
        <f>U110*RevenueStreams!$D$34</f>
        <v>800</v>
      </c>
      <c r="X110" s="457">
        <f>1*8*2</f>
        <v>16</v>
      </c>
      <c r="Y110" s="460" t="str">
        <f>RevenueStreams!$E$34</f>
        <v>Per Hr</v>
      </c>
      <c r="Z110" s="461">
        <f>X110*RevenueStreams!$D$34</f>
        <v>800</v>
      </c>
      <c r="AA110" s="457">
        <f>1*8*2</f>
        <v>16</v>
      </c>
      <c r="AB110" s="460" t="str">
        <f>RevenueStreams!$E$34</f>
        <v>Per Hr</v>
      </c>
      <c r="AC110" s="461">
        <f>AA110*RevenueStreams!$D$34</f>
        <v>800</v>
      </c>
      <c r="AD110" s="457">
        <f>1*8*2</f>
        <v>16</v>
      </c>
      <c r="AE110" s="460" t="str">
        <f>RevenueStreams!$E$34</f>
        <v>Per Hr</v>
      </c>
      <c r="AF110" s="461">
        <f>AD110*RevenueStreams!$D$34</f>
        <v>800</v>
      </c>
      <c r="AG110" s="457">
        <f>1*8*2</f>
        <v>16</v>
      </c>
      <c r="AH110" s="460" t="str">
        <f>RevenueStreams!$E$34</f>
        <v>Per Hr</v>
      </c>
      <c r="AI110" s="461">
        <f>AG110*RevenueStreams!$D$34</f>
        <v>800</v>
      </c>
      <c r="AJ110" s="457">
        <f>1*8*2</f>
        <v>16</v>
      </c>
      <c r="AK110" s="460" t="str">
        <f>RevenueStreams!$E$34</f>
        <v>Per Hr</v>
      </c>
      <c r="AL110" s="461">
        <f>AJ110*RevenueStreams!$D$34</f>
        <v>800</v>
      </c>
    </row>
    <row r="111" spans="1:38" x14ac:dyDescent="0.35">
      <c r="A111" s="472"/>
      <c r="B111" s="459" t="s">
        <v>499</v>
      </c>
      <c r="C111" s="457">
        <v>0</v>
      </c>
      <c r="D111" s="460" t="str">
        <f>RevenueStreams!$E$36</f>
        <v>% of Charged</v>
      </c>
      <c r="E111" s="461">
        <f>C111*RevenueStreams!$D$36</f>
        <v>0</v>
      </c>
      <c r="F111" s="457">
        <v>0</v>
      </c>
      <c r="G111" s="460" t="str">
        <f>RevenueStreams!$E$36</f>
        <v>% of Charged</v>
      </c>
      <c r="H111" s="461">
        <f>F111*RevenueStreams!$D$36</f>
        <v>0</v>
      </c>
      <c r="I111" s="457">
        <v>0</v>
      </c>
      <c r="J111" s="460" t="str">
        <f>RevenueStreams!$E$36</f>
        <v>% of Charged</v>
      </c>
      <c r="K111" s="461">
        <f>I111*RevenueStreams!$D$36</f>
        <v>0</v>
      </c>
      <c r="L111" s="457">
        <v>0</v>
      </c>
      <c r="M111" s="460" t="str">
        <f>RevenueStreams!$E$36</f>
        <v>% of Charged</v>
      </c>
      <c r="N111" s="461">
        <f>L111*RevenueStreams!$D$36</f>
        <v>0</v>
      </c>
      <c r="O111" s="457">
        <v>0</v>
      </c>
      <c r="P111" s="460" t="str">
        <f>RevenueStreams!$E$36</f>
        <v>% of Charged</v>
      </c>
      <c r="Q111" s="461">
        <f>O111*RevenueStreams!$D$36</f>
        <v>0</v>
      </c>
      <c r="R111" s="457">
        <v>0</v>
      </c>
      <c r="S111" s="460" t="str">
        <f>RevenueStreams!$E$36</f>
        <v>% of Charged</v>
      </c>
      <c r="T111" s="461">
        <f>R111*RevenueStreams!$D$36</f>
        <v>0</v>
      </c>
      <c r="U111" s="457">
        <v>0</v>
      </c>
      <c r="V111" s="460" t="str">
        <f>RevenueStreams!$E$36</f>
        <v>% of Charged</v>
      </c>
      <c r="W111" s="461">
        <f>U111*RevenueStreams!$D$36</f>
        <v>0</v>
      </c>
      <c r="X111" s="457">
        <v>0</v>
      </c>
      <c r="Y111" s="460" t="str">
        <f>RevenueStreams!$E$36</f>
        <v>% of Charged</v>
      </c>
      <c r="Z111" s="461">
        <f>X111*RevenueStreams!$D$36</f>
        <v>0</v>
      </c>
      <c r="AA111" s="457">
        <v>0</v>
      </c>
      <c r="AB111" s="460" t="str">
        <f>RevenueStreams!$E$36</f>
        <v>% of Charged</v>
      </c>
      <c r="AC111" s="461">
        <f>AA111*RevenueStreams!$D$36</f>
        <v>0</v>
      </c>
      <c r="AD111" s="457">
        <v>0</v>
      </c>
      <c r="AE111" s="460" t="str">
        <f>RevenueStreams!$E$36</f>
        <v>% of Charged</v>
      </c>
      <c r="AF111" s="461">
        <f>AD111*RevenueStreams!$D$36</f>
        <v>0</v>
      </c>
      <c r="AG111" s="457">
        <v>0</v>
      </c>
      <c r="AH111" s="460" t="str">
        <f>RevenueStreams!$E$36</f>
        <v>% of Charged</v>
      </c>
      <c r="AI111" s="461">
        <f>AG111*RevenueStreams!$D$36</f>
        <v>0</v>
      </c>
      <c r="AJ111" s="457">
        <v>0</v>
      </c>
      <c r="AK111" s="460" t="str">
        <f>RevenueStreams!$E$36</f>
        <v>% of Charged</v>
      </c>
      <c r="AL111" s="461">
        <f>AJ111*RevenueStreams!$D$36</f>
        <v>0</v>
      </c>
    </row>
    <row r="112" spans="1:38" x14ac:dyDescent="0.35">
      <c r="A112" s="469">
        <f>SUM(E112,H112,K112,N112,Q112,T112,W112,Z112,AC112,AF112,AI112,AL112)</f>
        <v>41685.952000000012</v>
      </c>
      <c r="B112" s="509" t="s">
        <v>694</v>
      </c>
      <c r="C112" s="520">
        <f>SUM(C89:C111)</f>
        <v>150</v>
      </c>
      <c r="D112" s="511"/>
      <c r="E112" s="510">
        <f>SUM(E89:E111)</f>
        <v>3573.8293333333331</v>
      </c>
      <c r="F112" s="520">
        <f>SUM(F89:F111)</f>
        <v>150</v>
      </c>
      <c r="G112" s="511"/>
      <c r="H112" s="510">
        <f>SUM(H89:H111)</f>
        <v>3573.8293333333331</v>
      </c>
      <c r="I112" s="520">
        <f>SUM(I89:I111)</f>
        <v>150</v>
      </c>
      <c r="J112" s="511"/>
      <c r="K112" s="510">
        <f>SUM(K89:K111)</f>
        <v>3573.8293333333331</v>
      </c>
      <c r="L112" s="520">
        <f>SUM(L89:L111)</f>
        <v>198</v>
      </c>
      <c r="M112" s="511"/>
      <c r="N112" s="510">
        <f>SUM(N89:N111)</f>
        <v>4053.8293333333331</v>
      </c>
      <c r="O112" s="520">
        <f>SUM(O89:O111)</f>
        <v>198</v>
      </c>
      <c r="P112" s="511"/>
      <c r="Q112" s="510">
        <f>SUM(Q89:Q111)</f>
        <v>4053.8293333333331</v>
      </c>
      <c r="R112" s="520">
        <f>SUM(R89:R111)</f>
        <v>174</v>
      </c>
      <c r="S112" s="511"/>
      <c r="T112" s="510">
        <f>SUM(T89:T111)</f>
        <v>3813.8293333333331</v>
      </c>
      <c r="U112" s="520">
        <f>SUM(U89:U111)</f>
        <v>150</v>
      </c>
      <c r="V112" s="511"/>
      <c r="W112" s="510">
        <f>SUM(W89:W111)</f>
        <v>3573.8293333333331</v>
      </c>
      <c r="X112" s="520">
        <f>SUM(X89:X111)</f>
        <v>102</v>
      </c>
      <c r="Y112" s="511"/>
      <c r="Z112" s="510">
        <f>SUM(Z89:Z111)</f>
        <v>3093.8293333333331</v>
      </c>
      <c r="AA112" s="520">
        <f>SUM(AA89:AA111)</f>
        <v>102</v>
      </c>
      <c r="AB112" s="511"/>
      <c r="AC112" s="510">
        <f>SUM(AC89:AC111)</f>
        <v>3093.8293333333331</v>
      </c>
      <c r="AD112" s="520">
        <f>SUM(AD89:AD111)</f>
        <v>102</v>
      </c>
      <c r="AE112" s="511"/>
      <c r="AF112" s="510">
        <f>SUM(AF89:AF111)</f>
        <v>3093.8293333333331</v>
      </c>
      <c r="AG112" s="520">
        <f>SUM(AG89:AG111)</f>
        <v>102</v>
      </c>
      <c r="AH112" s="511"/>
      <c r="AI112" s="510">
        <f>SUM(AI89:AI111)</f>
        <v>3093.8293333333331</v>
      </c>
      <c r="AJ112" s="520">
        <f>SUM(AJ89:AJ111)</f>
        <v>102</v>
      </c>
      <c r="AK112" s="511"/>
      <c r="AL112" s="510">
        <f>SUM(AL89:AL111)</f>
        <v>3093.8293333333331</v>
      </c>
    </row>
    <row r="114" spans="1:41" x14ac:dyDescent="0.35">
      <c r="A114" s="507" t="s">
        <v>653</v>
      </c>
      <c r="B114" s="508" t="s">
        <v>695</v>
      </c>
      <c r="C114" s="501" t="s">
        <v>33</v>
      </c>
      <c r="D114" s="502"/>
      <c r="E114" s="503" t="s">
        <v>320</v>
      </c>
      <c r="F114" s="501" t="s">
        <v>33</v>
      </c>
      <c r="G114" s="502"/>
      <c r="H114" s="503" t="s">
        <v>320</v>
      </c>
      <c r="I114" s="501" t="s">
        <v>33</v>
      </c>
      <c r="J114" s="502"/>
      <c r="K114" s="503" t="s">
        <v>320</v>
      </c>
      <c r="L114" s="501" t="s">
        <v>33</v>
      </c>
      <c r="M114" s="502"/>
      <c r="N114" s="503" t="s">
        <v>320</v>
      </c>
      <c r="O114" s="501" t="s">
        <v>33</v>
      </c>
      <c r="P114" s="502"/>
      <c r="Q114" s="503" t="s">
        <v>320</v>
      </c>
      <c r="R114" s="501" t="s">
        <v>33</v>
      </c>
      <c r="S114" s="502"/>
      <c r="T114" s="503" t="s">
        <v>320</v>
      </c>
      <c r="U114" s="501" t="s">
        <v>33</v>
      </c>
      <c r="V114" s="502"/>
      <c r="W114" s="503" t="s">
        <v>320</v>
      </c>
      <c r="X114" s="501" t="s">
        <v>33</v>
      </c>
      <c r="Y114" s="502"/>
      <c r="Z114" s="503" t="s">
        <v>320</v>
      </c>
      <c r="AA114" s="501" t="s">
        <v>33</v>
      </c>
      <c r="AB114" s="502"/>
      <c r="AC114" s="503" t="s">
        <v>320</v>
      </c>
      <c r="AD114" s="501" t="s">
        <v>33</v>
      </c>
      <c r="AE114" s="502"/>
      <c r="AF114" s="503" t="s">
        <v>320</v>
      </c>
      <c r="AG114" s="501" t="s">
        <v>33</v>
      </c>
      <c r="AH114" s="502"/>
      <c r="AI114" s="503" t="s">
        <v>320</v>
      </c>
      <c r="AJ114" s="501" t="s">
        <v>33</v>
      </c>
      <c r="AK114" s="502"/>
      <c r="AL114" s="503" t="s">
        <v>320</v>
      </c>
    </row>
    <row r="115" spans="1:41" x14ac:dyDescent="0.35">
      <c r="A115" s="471">
        <f>SUM(E115,H115,K115,N115,Q115,T115,W115,Z115,AC115,AF115,AI115,AL115)</f>
        <v>49308.480000000003</v>
      </c>
      <c r="B115" s="506">
        <f>Payroll!B84</f>
        <v>0</v>
      </c>
      <c r="C115" s="517">
        <v>120</v>
      </c>
      <c r="D115" s="504"/>
      <c r="E115" s="461">
        <f>C115*Payroll!$O$19/(50*5*8/12)</f>
        <v>4109.04</v>
      </c>
      <c r="F115" s="517">
        <v>120</v>
      </c>
      <c r="G115" s="504"/>
      <c r="H115" s="461">
        <f>F115*Payroll!$O$19/(50*5*8/12)</f>
        <v>4109.04</v>
      </c>
      <c r="I115" s="517">
        <v>120</v>
      </c>
      <c r="J115" s="504"/>
      <c r="K115" s="461">
        <f>I115*Payroll!$O$19/(50*5*8/12)</f>
        <v>4109.04</v>
      </c>
      <c r="L115" s="517">
        <v>120</v>
      </c>
      <c r="M115" s="504"/>
      <c r="N115" s="461">
        <f>L115*Payroll!$O$19/(50*5*8/12)</f>
        <v>4109.04</v>
      </c>
      <c r="O115" s="517">
        <v>120</v>
      </c>
      <c r="P115" s="504"/>
      <c r="Q115" s="461">
        <f>O115*Payroll!$O$19/(50*5*8/12)</f>
        <v>4109.04</v>
      </c>
      <c r="R115" s="517">
        <v>120</v>
      </c>
      <c r="S115" s="504"/>
      <c r="T115" s="461">
        <f>R115*Payroll!$O$19/(50*5*8/12)</f>
        <v>4109.04</v>
      </c>
      <c r="U115" s="517">
        <v>120</v>
      </c>
      <c r="V115" s="504"/>
      <c r="W115" s="461">
        <f>U115*Payroll!$O$19/(50*5*8/12)</f>
        <v>4109.04</v>
      </c>
      <c r="X115" s="517">
        <v>120</v>
      </c>
      <c r="Y115" s="504"/>
      <c r="Z115" s="461">
        <f>X115*Payroll!$O$19/(50*5*8/12)</f>
        <v>4109.04</v>
      </c>
      <c r="AA115" s="517">
        <v>120</v>
      </c>
      <c r="AB115" s="504"/>
      <c r="AC115" s="461">
        <f>AA115*Payroll!$O$19/(50*5*8/12)</f>
        <v>4109.04</v>
      </c>
      <c r="AD115" s="517">
        <v>120</v>
      </c>
      <c r="AE115" s="504"/>
      <c r="AF115" s="461">
        <f>AD115*Payroll!$O$19/(50*5*8/12)</f>
        <v>4109.04</v>
      </c>
      <c r="AG115" s="517">
        <v>120</v>
      </c>
      <c r="AH115" s="504"/>
      <c r="AI115" s="461">
        <f>AG115*Payroll!$O$19/(50*5*8/12)</f>
        <v>4109.04</v>
      </c>
      <c r="AJ115" s="517">
        <v>120</v>
      </c>
      <c r="AK115" s="504"/>
      <c r="AL115" s="461">
        <f>AJ115*Payroll!$O$19/(50*5*8/12)</f>
        <v>4109.04</v>
      </c>
      <c r="AN115" s="114" t="s">
        <v>744</v>
      </c>
      <c r="AO115" s="446">
        <f>SUM(A115:A121)</f>
        <v>98616.960000000006</v>
      </c>
    </row>
    <row r="116" spans="1:41" x14ac:dyDescent="0.35">
      <c r="A116" s="471">
        <f>SUM(E116,H116,K116,N116,Q116,T116,W116,Z116,AC116,AF116,AI116,AL116)</f>
        <v>0</v>
      </c>
      <c r="B116" s="506">
        <f>Payroll!B85</f>
        <v>0</v>
      </c>
      <c r="C116" s="517"/>
      <c r="D116" s="504"/>
      <c r="E116" s="461">
        <f>C116*Payroll!$O$19/(50*5*8/12)</f>
        <v>0</v>
      </c>
      <c r="F116" s="517"/>
      <c r="G116" s="504"/>
      <c r="H116" s="461">
        <f>F116*Payroll!$O$19/(50*5*8/12)</f>
        <v>0</v>
      </c>
      <c r="I116" s="517"/>
      <c r="J116" s="504"/>
      <c r="K116" s="461">
        <f>I116*Payroll!$O$19/(50*5*8/12)</f>
        <v>0</v>
      </c>
      <c r="L116" s="517"/>
      <c r="M116" s="504"/>
      <c r="N116" s="461">
        <f>L116*Payroll!$O$19/(50*5*8/12)</f>
        <v>0</v>
      </c>
      <c r="O116" s="517"/>
      <c r="P116" s="504"/>
      <c r="Q116" s="461">
        <f>O116*Payroll!$O$19/(50*5*8/12)</f>
        <v>0</v>
      </c>
      <c r="R116" s="517"/>
      <c r="S116" s="504"/>
      <c r="T116" s="461">
        <f>R116*Payroll!$O$19/(50*5*8/12)</f>
        <v>0</v>
      </c>
      <c r="U116" s="517"/>
      <c r="V116" s="504"/>
      <c r="W116" s="461">
        <f>U116*Payroll!$O$19/(50*5*8/12)</f>
        <v>0</v>
      </c>
      <c r="X116" s="517"/>
      <c r="Y116" s="504"/>
      <c r="Z116" s="461">
        <f>X116*Payroll!$O$19/(50*5*8/12)</f>
        <v>0</v>
      </c>
      <c r="AA116" s="517"/>
      <c r="AB116" s="504"/>
      <c r="AC116" s="461">
        <f>AA116*Payroll!$O$19/(50*5*8/12)</f>
        <v>0</v>
      </c>
      <c r="AD116" s="517"/>
      <c r="AE116" s="504"/>
      <c r="AF116" s="461">
        <f>AD116*Payroll!$O$19/(50*5*8/12)</f>
        <v>0</v>
      </c>
      <c r="AG116" s="517"/>
      <c r="AH116" s="504"/>
      <c r="AI116" s="461">
        <f>AG116*Payroll!$O$19/(50*5*8/12)</f>
        <v>0</v>
      </c>
      <c r="AJ116" s="517"/>
      <c r="AK116" s="504"/>
      <c r="AL116" s="461">
        <f>AJ116*Payroll!$O$19/(50*5*8/12)</f>
        <v>0</v>
      </c>
      <c r="AN116" s="114" t="s">
        <v>745</v>
      </c>
      <c r="AO116" s="446">
        <f>SUM(A126,A127,A128,A133,A135,A136,A137,A139)</f>
        <v>27300</v>
      </c>
    </row>
    <row r="117" spans="1:41" x14ac:dyDescent="0.35">
      <c r="A117" s="471">
        <f>SUM(E117,H117,K117,N117,Q117,T117,W117,Z117,AC117,AF117,AI117,AL117)</f>
        <v>49308.480000000003</v>
      </c>
      <c r="B117" s="506">
        <f>Payroll!B86</f>
        <v>0</v>
      </c>
      <c r="C117" s="517">
        <v>120</v>
      </c>
      <c r="D117" s="504"/>
      <c r="E117" s="461">
        <f>C117*Payroll!$O$19/(50*5*8/12)</f>
        <v>4109.04</v>
      </c>
      <c r="F117" s="517">
        <v>120</v>
      </c>
      <c r="G117" s="504"/>
      <c r="H117" s="461">
        <f>F117*Payroll!$O$19/(50*5*8/12)</f>
        <v>4109.04</v>
      </c>
      <c r="I117" s="517">
        <v>120</v>
      </c>
      <c r="J117" s="504"/>
      <c r="K117" s="461">
        <f>I117*Payroll!$O$19/(50*5*8/12)</f>
        <v>4109.04</v>
      </c>
      <c r="L117" s="517">
        <v>120</v>
      </c>
      <c r="M117" s="504"/>
      <c r="N117" s="461">
        <f>L117*Payroll!$O$19/(50*5*8/12)</f>
        <v>4109.04</v>
      </c>
      <c r="O117" s="517">
        <v>120</v>
      </c>
      <c r="P117" s="504"/>
      <c r="Q117" s="461">
        <f>O117*Payroll!$O$19/(50*5*8/12)</f>
        <v>4109.04</v>
      </c>
      <c r="R117" s="517">
        <v>120</v>
      </c>
      <c r="S117" s="504"/>
      <c r="T117" s="461">
        <f>R117*Payroll!$O$19/(50*5*8/12)</f>
        <v>4109.04</v>
      </c>
      <c r="U117" s="517">
        <v>120</v>
      </c>
      <c r="V117" s="504"/>
      <c r="W117" s="461">
        <f>U117*Payroll!$O$19/(50*5*8/12)</f>
        <v>4109.04</v>
      </c>
      <c r="X117" s="517">
        <v>120</v>
      </c>
      <c r="Y117" s="504"/>
      <c r="Z117" s="461">
        <f>X117*Payroll!$O$19/(50*5*8/12)</f>
        <v>4109.04</v>
      </c>
      <c r="AA117" s="517">
        <v>120</v>
      </c>
      <c r="AB117" s="504"/>
      <c r="AC117" s="461">
        <f>AA117*Payroll!$O$19/(50*5*8/12)</f>
        <v>4109.04</v>
      </c>
      <c r="AD117" s="517">
        <v>120</v>
      </c>
      <c r="AE117" s="504"/>
      <c r="AF117" s="461">
        <f>AD117*Payroll!$O$19/(50*5*8/12)</f>
        <v>4109.04</v>
      </c>
      <c r="AG117" s="517">
        <v>120</v>
      </c>
      <c r="AH117" s="504"/>
      <c r="AI117" s="461">
        <f>AG117*Payroll!$O$19/(50*5*8/12)</f>
        <v>4109.04</v>
      </c>
      <c r="AJ117" s="517">
        <v>120</v>
      </c>
      <c r="AK117" s="504"/>
      <c r="AL117" s="461">
        <f>AJ117*Payroll!$O$19/(50*5*8/12)</f>
        <v>4109.04</v>
      </c>
      <c r="AN117" s="114" t="s">
        <v>746</v>
      </c>
      <c r="AO117" s="446">
        <f>SUM(A127,A129,A131,A132,A140)</f>
        <v>14050</v>
      </c>
    </row>
    <row r="118" spans="1:41" x14ac:dyDescent="0.35">
      <c r="A118" s="471">
        <f>SUM(E118,H118,K118,N118,Q118,T118,W118,Z118,AC118,AF118,AI118,AL118)</f>
        <v>0</v>
      </c>
      <c r="B118" s="506">
        <f>Payroll!B87</f>
        <v>0</v>
      </c>
      <c r="C118" s="517"/>
      <c r="D118" s="504"/>
      <c r="E118" s="461">
        <f>C118*Payroll!$O$19/(50*5*8/12)</f>
        <v>0</v>
      </c>
      <c r="F118" s="517"/>
      <c r="G118" s="504"/>
      <c r="H118" s="461">
        <f>F118*Payroll!$O$19/(50*5*8/12)</f>
        <v>0</v>
      </c>
      <c r="I118" s="517"/>
      <c r="J118" s="504"/>
      <c r="K118" s="461">
        <f>I118*Payroll!$O$19/(50*5*8/12)</f>
        <v>0</v>
      </c>
      <c r="L118" s="517"/>
      <c r="M118" s="504"/>
      <c r="N118" s="461">
        <f>L118*Payroll!$O$19/(50*5*8/12)</f>
        <v>0</v>
      </c>
      <c r="O118" s="517"/>
      <c r="P118" s="504"/>
      <c r="Q118" s="461">
        <f>O118*Payroll!$O$19/(50*5*8/12)</f>
        <v>0</v>
      </c>
      <c r="R118" s="517"/>
      <c r="S118" s="504"/>
      <c r="T118" s="461">
        <f>R118*Payroll!$O$19/(50*5*8/12)</f>
        <v>0</v>
      </c>
      <c r="U118" s="517"/>
      <c r="V118" s="504"/>
      <c r="W118" s="461">
        <f>U118*Payroll!$O$19/(50*5*8/12)</f>
        <v>0</v>
      </c>
      <c r="X118" s="517"/>
      <c r="Y118" s="504"/>
      <c r="Z118" s="461">
        <f>X118*Payroll!$O$19/(50*5*8/12)</f>
        <v>0</v>
      </c>
      <c r="AA118" s="517"/>
      <c r="AB118" s="504"/>
      <c r="AC118" s="461">
        <f>AA118*Payroll!$O$19/(50*5*8/12)</f>
        <v>0</v>
      </c>
      <c r="AD118" s="517"/>
      <c r="AE118" s="504"/>
      <c r="AF118" s="461">
        <f>AD118*Payroll!$O$19/(50*5*8/12)</f>
        <v>0</v>
      </c>
      <c r="AG118" s="517"/>
      <c r="AH118" s="504"/>
      <c r="AI118" s="461">
        <f>AG118*Payroll!$O$19/(50*5*8/12)</f>
        <v>0</v>
      </c>
      <c r="AJ118" s="517"/>
      <c r="AK118" s="504"/>
      <c r="AL118" s="461">
        <f>AJ118*Payroll!$O$19/(50*5*8/12)</f>
        <v>0</v>
      </c>
      <c r="AN118" s="114" t="s">
        <v>747</v>
      </c>
      <c r="AO118" s="446">
        <f>SUM(A130,A125,A138)</f>
        <v>8400</v>
      </c>
    </row>
    <row r="119" spans="1:41" x14ac:dyDescent="0.35">
      <c r="A119" s="471">
        <f>SUM(E119,H119,K119,N119,Q119,T119,W119,Z119,AC119,AF119,AI119,AL119)</f>
        <v>0</v>
      </c>
      <c r="B119" s="506">
        <f>Payroll!B88</f>
        <v>0</v>
      </c>
      <c r="C119" s="517"/>
      <c r="D119" s="504"/>
      <c r="E119" s="461">
        <f>C119*Payroll!$O$19/(50*5*8/12)</f>
        <v>0</v>
      </c>
      <c r="F119" s="517"/>
      <c r="G119" s="504"/>
      <c r="H119" s="461">
        <f>F119*Payroll!$O$19/(50*5*8/12)</f>
        <v>0</v>
      </c>
      <c r="I119" s="517"/>
      <c r="J119" s="504"/>
      <c r="K119" s="461">
        <f>I119*Payroll!$O$19/(50*5*8/12)</f>
        <v>0</v>
      </c>
      <c r="L119" s="517"/>
      <c r="M119" s="504"/>
      <c r="N119" s="461">
        <f>L119*Payroll!$O$19/(50*5*8/12)</f>
        <v>0</v>
      </c>
      <c r="O119" s="517"/>
      <c r="P119" s="504"/>
      <c r="Q119" s="461">
        <f>O119*Payroll!$O$19/(50*5*8/12)</f>
        <v>0</v>
      </c>
      <c r="R119" s="517"/>
      <c r="S119" s="504"/>
      <c r="T119" s="461">
        <f>R119*Payroll!$O$19/(50*5*8/12)</f>
        <v>0</v>
      </c>
      <c r="U119" s="517"/>
      <c r="V119" s="504"/>
      <c r="W119" s="461">
        <f>U119*Payroll!$O$19/(50*5*8/12)</f>
        <v>0</v>
      </c>
      <c r="X119" s="517"/>
      <c r="Y119" s="504"/>
      <c r="Z119" s="461">
        <f>X119*Payroll!$O$19/(50*5*8/12)</f>
        <v>0</v>
      </c>
      <c r="AA119" s="517"/>
      <c r="AB119" s="504"/>
      <c r="AC119" s="461">
        <f>AA119*Payroll!$O$19/(50*5*8/12)</f>
        <v>0</v>
      </c>
      <c r="AD119" s="517"/>
      <c r="AE119" s="504"/>
      <c r="AF119" s="461">
        <f>AD119*Payroll!$O$19/(50*5*8/12)</f>
        <v>0</v>
      </c>
      <c r="AG119" s="517"/>
      <c r="AH119" s="504"/>
      <c r="AI119" s="461">
        <f>AG119*Payroll!$O$19/(50*5*8/12)</f>
        <v>0</v>
      </c>
      <c r="AJ119" s="517"/>
      <c r="AK119" s="504"/>
      <c r="AL119" s="461">
        <f>AJ119*Payroll!$O$19/(50*5*8/12)</f>
        <v>0</v>
      </c>
    </row>
    <row r="120" spans="1:41" x14ac:dyDescent="0.35">
      <c r="A120" s="471">
        <f t="shared" ref="A120:A121" si="6">SUM(E120,H120,K120,N120,Q120,T120,W120,Z120,AC120,AF120,AI120,AL120)</f>
        <v>0</v>
      </c>
      <c r="B120" s="506">
        <f>Payroll!B89</f>
        <v>0</v>
      </c>
      <c r="C120" s="517"/>
      <c r="D120" s="504"/>
      <c r="E120" s="461">
        <f>C120*Payroll!$O$19/(50*5*8/12)</f>
        <v>0</v>
      </c>
      <c r="F120" s="517"/>
      <c r="G120" s="504"/>
      <c r="H120" s="461">
        <f>F120*Payroll!$O$19/(50*5*8/12)</f>
        <v>0</v>
      </c>
      <c r="I120" s="517"/>
      <c r="J120" s="504"/>
      <c r="K120" s="461">
        <f>I120*Payroll!$O$19/(50*5*8/12)</f>
        <v>0</v>
      </c>
      <c r="L120" s="517"/>
      <c r="M120" s="504"/>
      <c r="N120" s="461">
        <f>L120*Payroll!$O$19/(50*5*8/12)</f>
        <v>0</v>
      </c>
      <c r="O120" s="517"/>
      <c r="P120" s="504"/>
      <c r="Q120" s="461">
        <f>O120*Payroll!$O$19/(50*5*8/12)</f>
        <v>0</v>
      </c>
      <c r="R120" s="517"/>
      <c r="S120" s="504"/>
      <c r="T120" s="461">
        <f>R120*Payroll!$O$19/(50*5*8/12)</f>
        <v>0</v>
      </c>
      <c r="U120" s="517"/>
      <c r="V120" s="504"/>
      <c r="W120" s="461">
        <f>U120*Payroll!$O$19/(50*5*8/12)</f>
        <v>0</v>
      </c>
      <c r="X120" s="517"/>
      <c r="Y120" s="504"/>
      <c r="Z120" s="461">
        <f>X120*Payroll!$O$19/(50*5*8/12)</f>
        <v>0</v>
      </c>
      <c r="AA120" s="517"/>
      <c r="AB120" s="504"/>
      <c r="AC120" s="461">
        <f>AA120*Payroll!$O$19/(50*5*8/12)</f>
        <v>0</v>
      </c>
      <c r="AD120" s="517"/>
      <c r="AE120" s="504"/>
      <c r="AF120" s="461">
        <f>AD120*Payroll!$O$19/(50*5*8/12)</f>
        <v>0</v>
      </c>
      <c r="AG120" s="517"/>
      <c r="AH120" s="504"/>
      <c r="AI120" s="461">
        <f>AG120*Payroll!$O$19/(50*5*8/12)</f>
        <v>0</v>
      </c>
      <c r="AJ120" s="517"/>
      <c r="AK120" s="504"/>
      <c r="AL120" s="461">
        <f>AJ120*Payroll!$O$19/(50*5*8/12)</f>
        <v>0</v>
      </c>
    </row>
    <row r="121" spans="1:41" x14ac:dyDescent="0.35">
      <c r="A121" s="471">
        <f t="shared" si="6"/>
        <v>0</v>
      </c>
      <c r="B121" s="506">
        <f>Payroll!B90</f>
        <v>0</v>
      </c>
      <c r="C121" s="517"/>
      <c r="D121" s="504"/>
      <c r="E121" s="461">
        <f>C121*Payroll!$O$19/(50*5*8/12)</f>
        <v>0</v>
      </c>
      <c r="F121" s="517"/>
      <c r="G121" s="504"/>
      <c r="H121" s="461">
        <f>F121*Payroll!$O$19/(50*5*8/12)</f>
        <v>0</v>
      </c>
      <c r="I121" s="517"/>
      <c r="J121" s="504"/>
      <c r="K121" s="461">
        <f>I121*Payroll!$O$19/(50*5*8/12)</f>
        <v>0</v>
      </c>
      <c r="L121" s="517"/>
      <c r="M121" s="504"/>
      <c r="N121" s="461">
        <f>L121*Payroll!$O$19/(50*5*8/12)</f>
        <v>0</v>
      </c>
      <c r="O121" s="517"/>
      <c r="P121" s="504"/>
      <c r="Q121" s="461">
        <f>O121*Payroll!$O$19/(50*5*8/12)</f>
        <v>0</v>
      </c>
      <c r="R121" s="517"/>
      <c r="S121" s="504"/>
      <c r="T121" s="461">
        <f>R121*Payroll!$O$19/(50*5*8/12)</f>
        <v>0</v>
      </c>
      <c r="U121" s="517"/>
      <c r="V121" s="504"/>
      <c r="W121" s="461">
        <f>U121*Payroll!$O$19/(50*5*8/12)</f>
        <v>0</v>
      </c>
      <c r="X121" s="517"/>
      <c r="Y121" s="504"/>
      <c r="Z121" s="461">
        <f>X121*Payroll!$O$19/(50*5*8/12)</f>
        <v>0</v>
      </c>
      <c r="AA121" s="517"/>
      <c r="AB121" s="504"/>
      <c r="AC121" s="461">
        <f>AA121*Payroll!$O$19/(50*5*8/12)</f>
        <v>0</v>
      </c>
      <c r="AD121" s="517"/>
      <c r="AE121" s="504"/>
      <c r="AF121" s="461">
        <f>AD121*Payroll!$O$19/(50*5*8/12)</f>
        <v>0</v>
      </c>
      <c r="AG121" s="517"/>
      <c r="AH121" s="504"/>
      <c r="AI121" s="461">
        <f>AG121*Payroll!$O$19/(50*5*8/12)</f>
        <v>0</v>
      </c>
      <c r="AJ121" s="517"/>
      <c r="AK121" s="504"/>
      <c r="AL121" s="461">
        <f>AJ121*Payroll!$O$19/(50*5*8/12)</f>
        <v>0</v>
      </c>
    </row>
    <row r="122" spans="1:41" x14ac:dyDescent="0.35">
      <c r="A122" s="469">
        <f>SUM(E122,H122,K122,N122,Q122,T122,W122,Z122,AC122,AF122,AI122,AL122)</f>
        <v>98616.960000000006</v>
      </c>
      <c r="B122" s="509" t="s">
        <v>696</v>
      </c>
      <c r="C122" s="516">
        <f>SUM(C115:C119)</f>
        <v>240</v>
      </c>
      <c r="D122" s="511"/>
      <c r="E122" s="510">
        <f>SUM(E115:E121)</f>
        <v>8218.08</v>
      </c>
      <c r="F122" s="516">
        <f>SUM(F115:F119)</f>
        <v>240</v>
      </c>
      <c r="G122" s="511"/>
      <c r="H122" s="510">
        <f>SUM(H115:H121)</f>
        <v>8218.08</v>
      </c>
      <c r="I122" s="516">
        <f>SUM(I115:I119)</f>
        <v>240</v>
      </c>
      <c r="J122" s="511"/>
      <c r="K122" s="510">
        <f>SUM(K115:K121)</f>
        <v>8218.08</v>
      </c>
      <c r="L122" s="516">
        <f>SUM(L115:L119)</f>
        <v>240</v>
      </c>
      <c r="M122" s="511"/>
      <c r="N122" s="510">
        <f>SUM(N115:N121)</f>
        <v>8218.08</v>
      </c>
      <c r="O122" s="516">
        <f>SUM(O115:O119)</f>
        <v>240</v>
      </c>
      <c r="P122" s="511"/>
      <c r="Q122" s="510">
        <f>SUM(Q115:Q121)</f>
        <v>8218.08</v>
      </c>
      <c r="R122" s="516">
        <f>SUM(R115:R119)</f>
        <v>240</v>
      </c>
      <c r="S122" s="511"/>
      <c r="T122" s="510">
        <f>SUM(T115:T121)</f>
        <v>8218.08</v>
      </c>
      <c r="U122" s="516">
        <f>SUM(U115:U119)</f>
        <v>240</v>
      </c>
      <c r="V122" s="511"/>
      <c r="W122" s="510">
        <f>SUM(W115:W121)</f>
        <v>8218.08</v>
      </c>
      <c r="X122" s="516">
        <f>SUM(X115:X119)</f>
        <v>240</v>
      </c>
      <c r="Y122" s="511"/>
      <c r="Z122" s="510">
        <f>SUM(Z115:Z121)</f>
        <v>8218.08</v>
      </c>
      <c r="AA122" s="516">
        <f>SUM(AA115:AA119)</f>
        <v>240</v>
      </c>
      <c r="AB122" s="511"/>
      <c r="AC122" s="510">
        <f>SUM(AC115:AC121)</f>
        <v>8218.08</v>
      </c>
      <c r="AD122" s="516">
        <f>SUM(AD115:AD119)</f>
        <v>240</v>
      </c>
      <c r="AE122" s="511"/>
      <c r="AF122" s="510">
        <f>SUM(AF115:AF121)</f>
        <v>8218.08</v>
      </c>
      <c r="AG122" s="516">
        <f>SUM(AG115:AG119)</f>
        <v>240</v>
      </c>
      <c r="AH122" s="511"/>
      <c r="AI122" s="510">
        <f>SUM(AI115:AI121)</f>
        <v>8218.08</v>
      </c>
      <c r="AJ122" s="516">
        <f>SUM(AJ115:AJ119)</f>
        <v>240</v>
      </c>
      <c r="AK122" s="511"/>
      <c r="AL122" s="510">
        <f>SUM(AL115:AL121)</f>
        <v>8218.08</v>
      </c>
    </row>
    <row r="124" spans="1:41" x14ac:dyDescent="0.35">
      <c r="A124" s="507" t="s">
        <v>653</v>
      </c>
      <c r="B124" s="508" t="s">
        <v>697</v>
      </c>
      <c r="C124" s="544" t="s">
        <v>654</v>
      </c>
      <c r="D124" s="545"/>
      <c r="E124" s="477" t="s">
        <v>320</v>
      </c>
      <c r="F124" s="544" t="s">
        <v>654</v>
      </c>
      <c r="G124" s="545"/>
      <c r="H124" s="477" t="s">
        <v>320</v>
      </c>
      <c r="I124" s="544" t="s">
        <v>654</v>
      </c>
      <c r="J124" s="545"/>
      <c r="K124" s="477" t="s">
        <v>320</v>
      </c>
      <c r="L124" s="544" t="s">
        <v>654</v>
      </c>
      <c r="M124" s="545"/>
      <c r="N124" s="477" t="s">
        <v>320</v>
      </c>
      <c r="O124" s="544" t="s">
        <v>654</v>
      </c>
      <c r="P124" s="545"/>
      <c r="Q124" s="477" t="s">
        <v>320</v>
      </c>
      <c r="R124" s="544" t="s">
        <v>654</v>
      </c>
      <c r="S124" s="545"/>
      <c r="T124" s="477" t="s">
        <v>320</v>
      </c>
      <c r="U124" s="544" t="s">
        <v>654</v>
      </c>
      <c r="V124" s="545"/>
      <c r="W124" s="477" t="s">
        <v>320</v>
      </c>
      <c r="X124" s="544" t="s">
        <v>654</v>
      </c>
      <c r="Y124" s="545"/>
      <c r="Z124" s="477" t="s">
        <v>320</v>
      </c>
      <c r="AA124" s="544" t="s">
        <v>654</v>
      </c>
      <c r="AB124" s="545"/>
      <c r="AC124" s="477" t="s">
        <v>320</v>
      </c>
      <c r="AD124" s="544" t="s">
        <v>654</v>
      </c>
      <c r="AE124" s="545"/>
      <c r="AF124" s="477" t="s">
        <v>320</v>
      </c>
      <c r="AG124" s="544" t="s">
        <v>654</v>
      </c>
      <c r="AH124" s="545"/>
      <c r="AI124" s="477" t="s">
        <v>320</v>
      </c>
      <c r="AJ124" s="544" t="s">
        <v>654</v>
      </c>
      <c r="AK124" s="545"/>
      <c r="AL124" s="477" t="s">
        <v>320</v>
      </c>
    </row>
    <row r="125" spans="1:41" x14ac:dyDescent="0.35">
      <c r="A125" s="471">
        <f>SUM(E125,H125,K125,N125,Q125,T125,W125,Z125,AC125,AF125,AI125,AL125)</f>
        <v>2400</v>
      </c>
      <c r="B125" s="506" t="s">
        <v>639</v>
      </c>
      <c r="C125" s="541"/>
      <c r="D125" s="542"/>
      <c r="E125" s="518">
        <v>200</v>
      </c>
      <c r="F125" s="541"/>
      <c r="G125" s="542"/>
      <c r="H125" s="518">
        <v>200</v>
      </c>
      <c r="I125" s="541"/>
      <c r="J125" s="542"/>
      <c r="K125" s="518">
        <v>200</v>
      </c>
      <c r="L125" s="541"/>
      <c r="M125" s="542"/>
      <c r="N125" s="518">
        <v>200</v>
      </c>
      <c r="O125" s="541"/>
      <c r="P125" s="542"/>
      <c r="Q125" s="518">
        <v>200</v>
      </c>
      <c r="R125" s="541"/>
      <c r="S125" s="542"/>
      <c r="T125" s="518">
        <v>200</v>
      </c>
      <c r="U125" s="541"/>
      <c r="V125" s="542"/>
      <c r="W125" s="518">
        <v>200</v>
      </c>
      <c r="X125" s="541"/>
      <c r="Y125" s="542"/>
      <c r="Z125" s="518">
        <v>200</v>
      </c>
      <c r="AA125" s="541"/>
      <c r="AB125" s="542"/>
      <c r="AC125" s="518">
        <v>200</v>
      </c>
      <c r="AD125" s="541"/>
      <c r="AE125" s="542"/>
      <c r="AF125" s="518">
        <v>200</v>
      </c>
      <c r="AG125" s="541"/>
      <c r="AH125" s="542"/>
      <c r="AI125" s="518">
        <v>200</v>
      </c>
      <c r="AJ125" s="541"/>
      <c r="AK125" s="542"/>
      <c r="AL125" s="518">
        <v>200</v>
      </c>
    </row>
    <row r="126" spans="1:41" x14ac:dyDescent="0.35">
      <c r="A126" s="471">
        <f t="shared" ref="A126:A130" si="7">SUM(E126,H126,K126,N126,Q126,T126,W126,Z126,AC126,AF126,AI126,AL126)</f>
        <v>0</v>
      </c>
      <c r="B126" s="506" t="s">
        <v>640</v>
      </c>
      <c r="C126" s="541"/>
      <c r="D126" s="542"/>
      <c r="E126" s="518"/>
      <c r="F126" s="541"/>
      <c r="G126" s="542"/>
      <c r="H126" s="518"/>
      <c r="I126" s="541"/>
      <c r="J126" s="542"/>
      <c r="K126" s="518"/>
      <c r="L126" s="541"/>
      <c r="M126" s="542"/>
      <c r="N126" s="518"/>
      <c r="O126" s="541"/>
      <c r="P126" s="542"/>
      <c r="Q126" s="518"/>
      <c r="R126" s="541"/>
      <c r="S126" s="542"/>
      <c r="T126" s="518"/>
      <c r="U126" s="541"/>
      <c r="V126" s="542"/>
      <c r="W126" s="518"/>
      <c r="X126" s="541"/>
      <c r="Y126" s="542"/>
      <c r="Z126" s="518"/>
      <c r="AA126" s="541"/>
      <c r="AB126" s="542"/>
      <c r="AC126" s="518"/>
      <c r="AD126" s="541"/>
      <c r="AE126" s="542"/>
      <c r="AF126" s="518"/>
      <c r="AG126" s="541"/>
      <c r="AH126" s="542"/>
      <c r="AI126" s="518"/>
      <c r="AJ126" s="541"/>
      <c r="AK126" s="542"/>
      <c r="AL126" s="518"/>
    </row>
    <row r="127" spans="1:41" x14ac:dyDescent="0.35">
      <c r="A127" s="471">
        <f t="shared" si="7"/>
        <v>0</v>
      </c>
      <c r="B127" s="506" t="s">
        <v>641</v>
      </c>
      <c r="C127" s="541"/>
      <c r="D127" s="542"/>
      <c r="E127" s="518"/>
      <c r="F127" s="541"/>
      <c r="G127" s="542"/>
      <c r="H127" s="518"/>
      <c r="I127" s="541"/>
      <c r="J127" s="542"/>
      <c r="K127" s="518"/>
      <c r="L127" s="541"/>
      <c r="M127" s="542"/>
      <c r="N127" s="518"/>
      <c r="O127" s="541"/>
      <c r="P127" s="542"/>
      <c r="Q127" s="518"/>
      <c r="R127" s="541"/>
      <c r="S127" s="542"/>
      <c r="T127" s="518"/>
      <c r="U127" s="541"/>
      <c r="V127" s="542"/>
      <c r="W127" s="518"/>
      <c r="X127" s="541"/>
      <c r="Y127" s="542"/>
      <c r="Z127" s="518"/>
      <c r="AA127" s="541"/>
      <c r="AB127" s="542"/>
      <c r="AC127" s="518"/>
      <c r="AD127" s="541"/>
      <c r="AE127" s="542"/>
      <c r="AF127" s="518"/>
      <c r="AG127" s="541"/>
      <c r="AH127" s="542"/>
      <c r="AI127" s="518"/>
      <c r="AJ127" s="541"/>
      <c r="AK127" s="542"/>
      <c r="AL127" s="518"/>
    </row>
    <row r="128" spans="1:41" x14ac:dyDescent="0.35">
      <c r="A128" s="471">
        <f t="shared" si="7"/>
        <v>7200</v>
      </c>
      <c r="B128" s="506" t="s">
        <v>642</v>
      </c>
      <c r="C128" s="541"/>
      <c r="D128" s="542"/>
      <c r="E128" s="518">
        <v>600</v>
      </c>
      <c r="F128" s="543"/>
      <c r="G128" s="542"/>
      <c r="H128" s="518">
        <f>E128</f>
        <v>600</v>
      </c>
      <c r="I128" s="543"/>
      <c r="J128" s="542"/>
      <c r="K128" s="518">
        <f>H128</f>
        <v>600</v>
      </c>
      <c r="L128" s="543"/>
      <c r="M128" s="542"/>
      <c r="N128" s="518">
        <f>K128</f>
        <v>600</v>
      </c>
      <c r="O128" s="543"/>
      <c r="P128" s="542"/>
      <c r="Q128" s="518">
        <f>N128</f>
        <v>600</v>
      </c>
      <c r="R128" s="543"/>
      <c r="S128" s="542"/>
      <c r="T128" s="518">
        <f>Q128</f>
        <v>600</v>
      </c>
      <c r="U128" s="543"/>
      <c r="V128" s="542"/>
      <c r="W128" s="518">
        <f>T128</f>
        <v>600</v>
      </c>
      <c r="X128" s="543"/>
      <c r="Y128" s="542"/>
      <c r="Z128" s="518">
        <f>W128</f>
        <v>600</v>
      </c>
      <c r="AA128" s="543"/>
      <c r="AB128" s="542"/>
      <c r="AC128" s="518">
        <f>Z128</f>
        <v>600</v>
      </c>
      <c r="AD128" s="543"/>
      <c r="AE128" s="542"/>
      <c r="AF128" s="518">
        <f>AC128</f>
        <v>600</v>
      </c>
      <c r="AG128" s="543"/>
      <c r="AH128" s="542"/>
      <c r="AI128" s="518">
        <f>AF128</f>
        <v>600</v>
      </c>
      <c r="AJ128" s="543"/>
      <c r="AK128" s="542"/>
      <c r="AL128" s="518">
        <f>AI128</f>
        <v>600</v>
      </c>
    </row>
    <row r="129" spans="1:38" x14ac:dyDescent="0.35">
      <c r="A129" s="471">
        <f t="shared" si="7"/>
        <v>5000</v>
      </c>
      <c r="B129" s="506" t="s">
        <v>643</v>
      </c>
      <c r="C129" s="541"/>
      <c r="D129" s="542"/>
      <c r="E129" s="518">
        <f>(3000+2000)/12</f>
        <v>416.66666666666669</v>
      </c>
      <c r="F129" s="543"/>
      <c r="G129" s="542"/>
      <c r="H129" s="518">
        <f>$E129</f>
        <v>416.66666666666669</v>
      </c>
      <c r="I129" s="543"/>
      <c r="J129" s="542"/>
      <c r="K129" s="518">
        <f>$E129</f>
        <v>416.66666666666669</v>
      </c>
      <c r="L129" s="543"/>
      <c r="M129" s="542"/>
      <c r="N129" s="518">
        <f>$E129</f>
        <v>416.66666666666669</v>
      </c>
      <c r="O129" s="543"/>
      <c r="P129" s="542"/>
      <c r="Q129" s="518">
        <f>$E129</f>
        <v>416.66666666666669</v>
      </c>
      <c r="R129" s="543"/>
      <c r="S129" s="542"/>
      <c r="T129" s="518">
        <f>$E129</f>
        <v>416.66666666666669</v>
      </c>
      <c r="U129" s="543"/>
      <c r="V129" s="542"/>
      <c r="W129" s="518">
        <f>$E129</f>
        <v>416.66666666666669</v>
      </c>
      <c r="X129" s="543"/>
      <c r="Y129" s="542"/>
      <c r="Z129" s="518">
        <f>$E129</f>
        <v>416.66666666666669</v>
      </c>
      <c r="AA129" s="543"/>
      <c r="AB129" s="542"/>
      <c r="AC129" s="518">
        <f>$E129</f>
        <v>416.66666666666669</v>
      </c>
      <c r="AD129" s="543"/>
      <c r="AE129" s="542"/>
      <c r="AF129" s="518">
        <f>$E129</f>
        <v>416.66666666666669</v>
      </c>
      <c r="AG129" s="543"/>
      <c r="AH129" s="542"/>
      <c r="AI129" s="518">
        <f>$E129</f>
        <v>416.66666666666669</v>
      </c>
      <c r="AJ129" s="543"/>
      <c r="AK129" s="542"/>
      <c r="AL129" s="518">
        <f>$E129</f>
        <v>416.66666666666669</v>
      </c>
    </row>
    <row r="130" spans="1:38" x14ac:dyDescent="0.35">
      <c r="A130" s="471">
        <f t="shared" si="7"/>
        <v>6000</v>
      </c>
      <c r="B130" s="506" t="s">
        <v>644</v>
      </c>
      <c r="C130" s="541"/>
      <c r="D130" s="542"/>
      <c r="E130" s="518">
        <v>500</v>
      </c>
      <c r="F130" s="541"/>
      <c r="G130" s="542"/>
      <c r="H130" s="518">
        <v>500</v>
      </c>
      <c r="I130" s="541"/>
      <c r="J130" s="542"/>
      <c r="K130" s="518">
        <v>500</v>
      </c>
      <c r="L130" s="541"/>
      <c r="M130" s="542"/>
      <c r="N130" s="518">
        <v>500</v>
      </c>
      <c r="O130" s="541"/>
      <c r="P130" s="542"/>
      <c r="Q130" s="518">
        <v>500</v>
      </c>
      <c r="R130" s="541"/>
      <c r="S130" s="542"/>
      <c r="T130" s="518">
        <v>500</v>
      </c>
      <c r="U130" s="541"/>
      <c r="V130" s="542"/>
      <c r="W130" s="518">
        <v>500</v>
      </c>
      <c r="X130" s="541"/>
      <c r="Y130" s="542"/>
      <c r="Z130" s="518">
        <v>500</v>
      </c>
      <c r="AA130" s="541"/>
      <c r="AB130" s="542"/>
      <c r="AC130" s="518">
        <v>500</v>
      </c>
      <c r="AD130" s="541"/>
      <c r="AE130" s="542"/>
      <c r="AF130" s="518">
        <v>500</v>
      </c>
      <c r="AG130" s="541"/>
      <c r="AH130" s="542"/>
      <c r="AI130" s="518">
        <v>500</v>
      </c>
      <c r="AJ130" s="541"/>
      <c r="AK130" s="542"/>
      <c r="AL130" s="518">
        <v>500</v>
      </c>
    </row>
    <row r="131" spans="1:38" x14ac:dyDescent="0.35">
      <c r="A131" s="471"/>
      <c r="B131" s="506" t="s">
        <v>658</v>
      </c>
      <c r="C131" s="541"/>
      <c r="D131" s="542"/>
      <c r="E131" s="518">
        <v>750</v>
      </c>
      <c r="F131" s="543"/>
      <c r="G131" s="542"/>
      <c r="H131" s="518">
        <f>E131</f>
        <v>750</v>
      </c>
      <c r="I131" s="543"/>
      <c r="J131" s="542"/>
      <c r="K131" s="518">
        <f>H131</f>
        <v>750</v>
      </c>
      <c r="L131" s="543"/>
      <c r="M131" s="542"/>
      <c r="N131" s="518">
        <f>K131</f>
        <v>750</v>
      </c>
      <c r="O131" s="543"/>
      <c r="P131" s="542"/>
      <c r="Q131" s="518">
        <f>N131</f>
        <v>750</v>
      </c>
      <c r="R131" s="543"/>
      <c r="S131" s="542"/>
      <c r="T131" s="518">
        <f>Q131</f>
        <v>750</v>
      </c>
      <c r="U131" s="543"/>
      <c r="V131" s="542"/>
      <c r="W131" s="518">
        <f>T131</f>
        <v>750</v>
      </c>
      <c r="X131" s="543"/>
      <c r="Y131" s="542"/>
      <c r="Z131" s="518">
        <f>W131</f>
        <v>750</v>
      </c>
      <c r="AA131" s="543"/>
      <c r="AB131" s="542"/>
      <c r="AC131" s="518">
        <f>Z131</f>
        <v>750</v>
      </c>
      <c r="AD131" s="543"/>
      <c r="AE131" s="542"/>
      <c r="AF131" s="518">
        <f>AC131</f>
        <v>750</v>
      </c>
      <c r="AG131" s="543"/>
      <c r="AH131" s="542"/>
      <c r="AI131" s="518">
        <f>AF131</f>
        <v>750</v>
      </c>
      <c r="AJ131" s="543"/>
      <c r="AK131" s="542"/>
      <c r="AL131" s="518">
        <f>AI131</f>
        <v>750</v>
      </c>
    </row>
    <row r="132" spans="1:38" x14ac:dyDescent="0.35">
      <c r="A132" s="471">
        <f t="shared" ref="A132:A140" si="8">SUM(E132,H132,K132,N132,Q132,T132,W132,Z132,AC132,AF132,AI132,AL132)</f>
        <v>3050</v>
      </c>
      <c r="B132" s="506" t="s">
        <v>657</v>
      </c>
      <c r="C132" s="541"/>
      <c r="D132" s="542"/>
      <c r="E132" s="518">
        <f>1000+1000+250</f>
        <v>2250</v>
      </c>
      <c r="F132" s="541"/>
      <c r="G132" s="542"/>
      <c r="H132" s="518"/>
      <c r="I132" s="541"/>
      <c r="J132" s="542"/>
      <c r="K132" s="518">
        <v>200</v>
      </c>
      <c r="L132" s="541"/>
      <c r="M132" s="542"/>
      <c r="N132" s="518"/>
      <c r="O132" s="541"/>
      <c r="P132" s="542"/>
      <c r="Q132" s="518"/>
      <c r="R132" s="541"/>
      <c r="S132" s="542"/>
      <c r="T132" s="518">
        <v>200</v>
      </c>
      <c r="U132" s="541"/>
      <c r="V132" s="542"/>
      <c r="W132" s="518"/>
      <c r="X132" s="541"/>
      <c r="Y132" s="542"/>
      <c r="Z132" s="518"/>
      <c r="AA132" s="541"/>
      <c r="AB132" s="542"/>
      <c r="AC132" s="518">
        <v>200</v>
      </c>
      <c r="AD132" s="541"/>
      <c r="AE132" s="542"/>
      <c r="AF132" s="518"/>
      <c r="AG132" s="541"/>
      <c r="AH132" s="542"/>
      <c r="AI132" s="518"/>
      <c r="AJ132" s="541"/>
      <c r="AK132" s="542"/>
      <c r="AL132" s="518">
        <v>200</v>
      </c>
    </row>
    <row r="133" spans="1:38" x14ac:dyDescent="0.35">
      <c r="A133" s="471">
        <f t="shared" si="8"/>
        <v>1200</v>
      </c>
      <c r="B133" s="506" t="s">
        <v>645</v>
      </c>
      <c r="C133" s="541"/>
      <c r="D133" s="542"/>
      <c r="E133" s="518">
        <v>100</v>
      </c>
      <c r="F133" s="541"/>
      <c r="G133" s="542"/>
      <c r="H133" s="518">
        <v>100</v>
      </c>
      <c r="I133" s="541"/>
      <c r="J133" s="542"/>
      <c r="K133" s="518">
        <v>100</v>
      </c>
      <c r="L133" s="541"/>
      <c r="M133" s="542"/>
      <c r="N133" s="518">
        <v>100</v>
      </c>
      <c r="O133" s="541"/>
      <c r="P133" s="542"/>
      <c r="Q133" s="518">
        <v>100</v>
      </c>
      <c r="R133" s="541"/>
      <c r="S133" s="542"/>
      <c r="T133" s="518">
        <v>100</v>
      </c>
      <c r="U133" s="541"/>
      <c r="V133" s="542"/>
      <c r="W133" s="518">
        <v>100</v>
      </c>
      <c r="X133" s="541"/>
      <c r="Y133" s="542"/>
      <c r="Z133" s="518">
        <v>100</v>
      </c>
      <c r="AA133" s="541"/>
      <c r="AB133" s="542"/>
      <c r="AC133" s="518">
        <v>100</v>
      </c>
      <c r="AD133" s="541"/>
      <c r="AE133" s="542"/>
      <c r="AF133" s="518">
        <v>100</v>
      </c>
      <c r="AG133" s="541"/>
      <c r="AH133" s="542"/>
      <c r="AI133" s="518">
        <v>100</v>
      </c>
      <c r="AJ133" s="541"/>
      <c r="AK133" s="542"/>
      <c r="AL133" s="518">
        <v>100</v>
      </c>
    </row>
    <row r="134" spans="1:38" x14ac:dyDescent="0.35">
      <c r="A134" s="471">
        <f t="shared" si="8"/>
        <v>0</v>
      </c>
      <c r="B134" s="506" t="s">
        <v>646</v>
      </c>
      <c r="C134" s="541"/>
      <c r="D134" s="542"/>
      <c r="E134" s="518"/>
      <c r="F134" s="541"/>
      <c r="G134" s="542"/>
      <c r="H134" s="518"/>
      <c r="I134" s="541"/>
      <c r="J134" s="542"/>
      <c r="K134" s="518"/>
      <c r="L134" s="541"/>
      <c r="M134" s="542"/>
      <c r="N134" s="518"/>
      <c r="O134" s="541"/>
      <c r="P134" s="542"/>
      <c r="Q134" s="518"/>
      <c r="R134" s="541"/>
      <c r="S134" s="542"/>
      <c r="T134" s="518"/>
      <c r="U134" s="541"/>
      <c r="V134" s="542"/>
      <c r="W134" s="518"/>
      <c r="X134" s="541"/>
      <c r="Y134" s="542"/>
      <c r="Z134" s="518"/>
      <c r="AA134" s="541"/>
      <c r="AB134" s="542"/>
      <c r="AC134" s="518"/>
      <c r="AD134" s="541"/>
      <c r="AE134" s="542"/>
      <c r="AF134" s="518"/>
      <c r="AG134" s="541"/>
      <c r="AH134" s="542"/>
      <c r="AI134" s="518"/>
      <c r="AJ134" s="541"/>
      <c r="AK134" s="542"/>
      <c r="AL134" s="518"/>
    </row>
    <row r="135" spans="1:38" x14ac:dyDescent="0.35">
      <c r="A135" s="471">
        <f t="shared" si="8"/>
        <v>0</v>
      </c>
      <c r="B135" s="506" t="s">
        <v>647</v>
      </c>
      <c r="C135" s="541"/>
      <c r="D135" s="542"/>
      <c r="E135" s="518"/>
      <c r="F135" s="541"/>
      <c r="G135" s="542"/>
      <c r="H135" s="518"/>
      <c r="I135" s="541"/>
      <c r="J135" s="542"/>
      <c r="K135" s="518"/>
      <c r="L135" s="541"/>
      <c r="M135" s="542"/>
      <c r="N135" s="518"/>
      <c r="O135" s="541"/>
      <c r="P135" s="542"/>
      <c r="Q135" s="518"/>
      <c r="R135" s="541"/>
      <c r="S135" s="542"/>
      <c r="T135" s="518"/>
      <c r="U135" s="541"/>
      <c r="V135" s="542"/>
      <c r="W135" s="518"/>
      <c r="X135" s="541"/>
      <c r="Y135" s="542"/>
      <c r="Z135" s="518"/>
      <c r="AA135" s="541"/>
      <c r="AB135" s="542"/>
      <c r="AC135" s="518"/>
      <c r="AD135" s="541"/>
      <c r="AE135" s="542"/>
      <c r="AF135" s="518"/>
      <c r="AG135" s="541"/>
      <c r="AH135" s="542"/>
      <c r="AI135" s="518"/>
      <c r="AJ135" s="541"/>
      <c r="AK135" s="542"/>
      <c r="AL135" s="518"/>
    </row>
    <row r="136" spans="1:38" x14ac:dyDescent="0.35">
      <c r="A136" s="471">
        <f t="shared" si="8"/>
        <v>2400</v>
      </c>
      <c r="B136" s="506" t="s">
        <v>648</v>
      </c>
      <c r="C136" s="541"/>
      <c r="D136" s="542"/>
      <c r="E136" s="518">
        <v>200</v>
      </c>
      <c r="F136" s="541"/>
      <c r="G136" s="542"/>
      <c r="H136" s="518">
        <v>200</v>
      </c>
      <c r="I136" s="541"/>
      <c r="J136" s="542"/>
      <c r="K136" s="518">
        <v>200</v>
      </c>
      <c r="L136" s="541"/>
      <c r="M136" s="542"/>
      <c r="N136" s="518">
        <v>200</v>
      </c>
      <c r="O136" s="541"/>
      <c r="P136" s="542"/>
      <c r="Q136" s="518">
        <v>200</v>
      </c>
      <c r="R136" s="541"/>
      <c r="S136" s="542"/>
      <c r="T136" s="518">
        <v>200</v>
      </c>
      <c r="U136" s="541"/>
      <c r="V136" s="542"/>
      <c r="W136" s="518">
        <v>200</v>
      </c>
      <c r="X136" s="541"/>
      <c r="Y136" s="542"/>
      <c r="Z136" s="518">
        <v>200</v>
      </c>
      <c r="AA136" s="541"/>
      <c r="AB136" s="542"/>
      <c r="AC136" s="518">
        <v>200</v>
      </c>
      <c r="AD136" s="541"/>
      <c r="AE136" s="542"/>
      <c r="AF136" s="518">
        <v>200</v>
      </c>
      <c r="AG136" s="541"/>
      <c r="AH136" s="542"/>
      <c r="AI136" s="518">
        <v>200</v>
      </c>
      <c r="AJ136" s="541"/>
      <c r="AK136" s="542"/>
      <c r="AL136" s="518">
        <v>200</v>
      </c>
    </row>
    <row r="137" spans="1:38" x14ac:dyDescent="0.35">
      <c r="A137" s="471">
        <f t="shared" si="8"/>
        <v>3600</v>
      </c>
      <c r="B137" s="506" t="s">
        <v>649</v>
      </c>
      <c r="C137" s="541"/>
      <c r="D137" s="542"/>
      <c r="E137" s="518">
        <v>300</v>
      </c>
      <c r="F137" s="541"/>
      <c r="G137" s="542"/>
      <c r="H137" s="518">
        <v>300</v>
      </c>
      <c r="I137" s="541"/>
      <c r="J137" s="542"/>
      <c r="K137" s="518">
        <v>300</v>
      </c>
      <c r="L137" s="541"/>
      <c r="M137" s="542"/>
      <c r="N137" s="518">
        <v>300</v>
      </c>
      <c r="O137" s="541"/>
      <c r="P137" s="542"/>
      <c r="Q137" s="518">
        <v>300</v>
      </c>
      <c r="R137" s="541"/>
      <c r="S137" s="542"/>
      <c r="T137" s="518">
        <v>300</v>
      </c>
      <c r="U137" s="541"/>
      <c r="V137" s="542"/>
      <c r="W137" s="518">
        <v>300</v>
      </c>
      <c r="X137" s="541"/>
      <c r="Y137" s="542"/>
      <c r="Z137" s="518">
        <v>300</v>
      </c>
      <c r="AA137" s="541"/>
      <c r="AB137" s="542"/>
      <c r="AC137" s="518">
        <v>300</v>
      </c>
      <c r="AD137" s="541"/>
      <c r="AE137" s="542"/>
      <c r="AF137" s="518">
        <v>300</v>
      </c>
      <c r="AG137" s="541"/>
      <c r="AH137" s="542"/>
      <c r="AI137" s="518">
        <v>300</v>
      </c>
      <c r="AJ137" s="541"/>
      <c r="AK137" s="542"/>
      <c r="AL137" s="518">
        <v>300</v>
      </c>
    </row>
    <row r="138" spans="1:38" x14ac:dyDescent="0.35">
      <c r="A138" s="471">
        <f t="shared" si="8"/>
        <v>0</v>
      </c>
      <c r="B138" s="506" t="s">
        <v>650</v>
      </c>
      <c r="C138" s="541"/>
      <c r="D138" s="542"/>
      <c r="E138" s="518"/>
      <c r="F138" s="541"/>
      <c r="G138" s="542"/>
      <c r="H138" s="518"/>
      <c r="I138" s="541"/>
      <c r="J138" s="542"/>
      <c r="K138" s="518"/>
      <c r="L138" s="541"/>
      <c r="M138" s="542"/>
      <c r="N138" s="518"/>
      <c r="O138" s="541"/>
      <c r="P138" s="542"/>
      <c r="Q138" s="518"/>
      <c r="R138" s="541"/>
      <c r="S138" s="542"/>
      <c r="T138" s="518"/>
      <c r="U138" s="541"/>
      <c r="V138" s="542"/>
      <c r="W138" s="518"/>
      <c r="X138" s="541"/>
      <c r="Y138" s="542"/>
      <c r="Z138" s="518"/>
      <c r="AA138" s="541"/>
      <c r="AB138" s="542"/>
      <c r="AC138" s="518"/>
      <c r="AD138" s="541"/>
      <c r="AE138" s="542"/>
      <c r="AF138" s="518"/>
      <c r="AG138" s="541"/>
      <c r="AH138" s="542"/>
      <c r="AI138" s="518"/>
      <c r="AJ138" s="541"/>
      <c r="AK138" s="542"/>
      <c r="AL138" s="518"/>
    </row>
    <row r="139" spans="1:38" x14ac:dyDescent="0.35">
      <c r="A139" s="471">
        <f t="shared" si="8"/>
        <v>12900</v>
      </c>
      <c r="B139" s="506" t="s">
        <v>651</v>
      </c>
      <c r="C139" s="541"/>
      <c r="D139" s="542"/>
      <c r="E139" s="518">
        <f>(150+250)+(1350*0.5)</f>
        <v>1075</v>
      </c>
      <c r="F139" s="543"/>
      <c r="G139" s="542"/>
      <c r="H139" s="518">
        <f>E139</f>
        <v>1075</v>
      </c>
      <c r="I139" s="543"/>
      <c r="J139" s="542"/>
      <c r="K139" s="518">
        <f>H139</f>
        <v>1075</v>
      </c>
      <c r="L139" s="543"/>
      <c r="M139" s="542"/>
      <c r="N139" s="518">
        <f>K139</f>
        <v>1075</v>
      </c>
      <c r="O139" s="543"/>
      <c r="P139" s="542"/>
      <c r="Q139" s="518">
        <f>N139</f>
        <v>1075</v>
      </c>
      <c r="R139" s="543"/>
      <c r="S139" s="542"/>
      <c r="T139" s="518">
        <f>Q139</f>
        <v>1075</v>
      </c>
      <c r="U139" s="543"/>
      <c r="V139" s="542"/>
      <c r="W139" s="518">
        <f>T139</f>
        <v>1075</v>
      </c>
      <c r="X139" s="543"/>
      <c r="Y139" s="542"/>
      <c r="Z139" s="518">
        <f>W139</f>
        <v>1075</v>
      </c>
      <c r="AA139" s="543"/>
      <c r="AB139" s="542"/>
      <c r="AC139" s="518">
        <f>Z139</f>
        <v>1075</v>
      </c>
      <c r="AD139" s="543"/>
      <c r="AE139" s="542"/>
      <c r="AF139" s="518">
        <f>AC139</f>
        <v>1075</v>
      </c>
      <c r="AG139" s="543"/>
      <c r="AH139" s="542"/>
      <c r="AI139" s="518">
        <f>AF139</f>
        <v>1075</v>
      </c>
      <c r="AJ139" s="543"/>
      <c r="AK139" s="542"/>
      <c r="AL139" s="518">
        <f>AI139</f>
        <v>1075</v>
      </c>
    </row>
    <row r="140" spans="1:38" x14ac:dyDescent="0.35">
      <c r="A140" s="471">
        <f t="shared" si="8"/>
        <v>6000</v>
      </c>
      <c r="B140" s="506" t="s">
        <v>652</v>
      </c>
      <c r="C140" s="541"/>
      <c r="D140" s="542"/>
      <c r="E140" s="518">
        <v>500</v>
      </c>
      <c r="F140" s="541"/>
      <c r="G140" s="542"/>
      <c r="H140" s="518">
        <v>500</v>
      </c>
      <c r="I140" s="541"/>
      <c r="J140" s="542"/>
      <c r="K140" s="518">
        <v>500</v>
      </c>
      <c r="L140" s="541"/>
      <c r="M140" s="542"/>
      <c r="N140" s="518">
        <v>500</v>
      </c>
      <c r="O140" s="541"/>
      <c r="P140" s="542"/>
      <c r="Q140" s="518">
        <v>500</v>
      </c>
      <c r="R140" s="541"/>
      <c r="S140" s="542"/>
      <c r="T140" s="518">
        <v>500</v>
      </c>
      <c r="U140" s="541"/>
      <c r="V140" s="542"/>
      <c r="W140" s="518">
        <v>500</v>
      </c>
      <c r="X140" s="541"/>
      <c r="Y140" s="542"/>
      <c r="Z140" s="518">
        <v>500</v>
      </c>
      <c r="AA140" s="541"/>
      <c r="AB140" s="542"/>
      <c r="AC140" s="518">
        <v>500</v>
      </c>
      <c r="AD140" s="541"/>
      <c r="AE140" s="542"/>
      <c r="AF140" s="518">
        <v>500</v>
      </c>
      <c r="AG140" s="541"/>
      <c r="AH140" s="542"/>
      <c r="AI140" s="518">
        <v>500</v>
      </c>
      <c r="AJ140" s="541"/>
      <c r="AK140" s="542"/>
      <c r="AL140" s="518">
        <v>500</v>
      </c>
    </row>
    <row r="141" spans="1:38" x14ac:dyDescent="0.35">
      <c r="A141" s="471"/>
      <c r="B141" s="506" t="s">
        <v>655</v>
      </c>
      <c r="C141" s="541"/>
      <c r="D141" s="542"/>
      <c r="E141" s="518"/>
      <c r="F141" s="541"/>
      <c r="G141" s="542"/>
      <c r="H141" s="518"/>
      <c r="I141" s="541"/>
      <c r="J141" s="542"/>
      <c r="K141" s="518"/>
      <c r="L141" s="541"/>
      <c r="M141" s="542"/>
      <c r="N141" s="518"/>
      <c r="O141" s="541"/>
      <c r="P141" s="542"/>
      <c r="Q141" s="518"/>
      <c r="R141" s="541"/>
      <c r="S141" s="542"/>
      <c r="T141" s="518"/>
      <c r="U141" s="541"/>
      <c r="V141" s="542"/>
      <c r="W141" s="518"/>
      <c r="X141" s="541"/>
      <c r="Y141" s="542"/>
      <c r="Z141" s="518"/>
      <c r="AA141" s="541"/>
      <c r="AB141" s="542"/>
      <c r="AC141" s="518"/>
      <c r="AD141" s="541"/>
      <c r="AE141" s="542"/>
      <c r="AF141" s="518"/>
      <c r="AG141" s="541"/>
      <c r="AH141" s="542"/>
      <c r="AI141" s="518"/>
      <c r="AJ141" s="541"/>
      <c r="AK141" s="542"/>
      <c r="AL141" s="518"/>
    </row>
    <row r="142" spans="1:38" x14ac:dyDescent="0.35">
      <c r="A142" s="471"/>
      <c r="B142" s="506" t="s">
        <v>656</v>
      </c>
      <c r="C142" s="541"/>
      <c r="D142" s="542"/>
      <c r="E142" s="518"/>
      <c r="F142" s="541"/>
      <c r="G142" s="542"/>
      <c r="H142" s="518"/>
      <c r="I142" s="541"/>
      <c r="J142" s="542"/>
      <c r="K142" s="518"/>
      <c r="L142" s="541"/>
      <c r="M142" s="542"/>
      <c r="N142" s="518"/>
      <c r="O142" s="541"/>
      <c r="P142" s="542"/>
      <c r="Q142" s="518"/>
      <c r="R142" s="541"/>
      <c r="S142" s="542"/>
      <c r="T142" s="518"/>
      <c r="U142" s="541"/>
      <c r="V142" s="542"/>
      <c r="W142" s="518"/>
      <c r="X142" s="541"/>
      <c r="Y142" s="542"/>
      <c r="Z142" s="518"/>
      <c r="AA142" s="541"/>
      <c r="AB142" s="542"/>
      <c r="AC142" s="518"/>
      <c r="AD142" s="541"/>
      <c r="AE142" s="542"/>
      <c r="AF142" s="518"/>
      <c r="AG142" s="541"/>
      <c r="AH142" s="542"/>
      <c r="AI142" s="518"/>
      <c r="AJ142" s="541"/>
      <c r="AK142" s="542"/>
      <c r="AL142" s="518"/>
    </row>
    <row r="143" spans="1:38" s="110" customFormat="1" x14ac:dyDescent="0.35">
      <c r="A143" s="469">
        <f>SUM(E143,H143,K143,N143,Q143,T143,W143,Z143,AC143,AF143,AI143,AL143)</f>
        <v>58749.999999999993</v>
      </c>
      <c r="B143" s="509" t="s">
        <v>698</v>
      </c>
      <c r="C143" s="539"/>
      <c r="D143" s="540"/>
      <c r="E143" s="510">
        <f>SUM(E125:E142)</f>
        <v>6891.666666666667</v>
      </c>
      <c r="F143" s="539"/>
      <c r="G143" s="540"/>
      <c r="H143" s="510">
        <f>SUM(H125:H142)</f>
        <v>4641.666666666667</v>
      </c>
      <c r="I143" s="539"/>
      <c r="J143" s="540"/>
      <c r="K143" s="510">
        <f>SUM(K125:K142)</f>
        <v>4841.666666666667</v>
      </c>
      <c r="L143" s="539"/>
      <c r="M143" s="540"/>
      <c r="N143" s="510">
        <f>SUM(N125:N142)</f>
        <v>4641.666666666667</v>
      </c>
      <c r="O143" s="539"/>
      <c r="P143" s="540"/>
      <c r="Q143" s="510">
        <f>SUM(Q125:Q142)</f>
        <v>4641.666666666667</v>
      </c>
      <c r="R143" s="539"/>
      <c r="S143" s="540"/>
      <c r="T143" s="510">
        <f>SUM(T125:T142)</f>
        <v>4841.666666666667</v>
      </c>
      <c r="U143" s="539"/>
      <c r="V143" s="540"/>
      <c r="W143" s="510">
        <f>SUM(W125:W142)</f>
        <v>4641.666666666667</v>
      </c>
      <c r="X143" s="539"/>
      <c r="Y143" s="540"/>
      <c r="Z143" s="510">
        <f>SUM(Z125:Z142)</f>
        <v>4641.666666666667</v>
      </c>
      <c r="AA143" s="539"/>
      <c r="AB143" s="540"/>
      <c r="AC143" s="510">
        <f>SUM(AC125:AC142)</f>
        <v>4841.666666666667</v>
      </c>
      <c r="AD143" s="539"/>
      <c r="AE143" s="540"/>
      <c r="AF143" s="510">
        <f>SUM(AF125:AF142)</f>
        <v>4641.666666666667</v>
      </c>
      <c r="AG143" s="539"/>
      <c r="AH143" s="540"/>
      <c r="AI143" s="510">
        <f>SUM(AI125:AI142)</f>
        <v>4641.666666666667</v>
      </c>
      <c r="AJ143" s="539"/>
      <c r="AK143" s="540"/>
      <c r="AL143" s="510">
        <f>SUM(AL125:AL142)</f>
        <v>4841.666666666667</v>
      </c>
    </row>
    <row r="145" spans="1:41" x14ac:dyDescent="0.35">
      <c r="A145" s="469">
        <f>SUM(E145,H145,K145,N145,Q145,T145,W145,Z145,AC145,AF145,AI145,AL145)</f>
        <v>41685.952000000012</v>
      </c>
      <c r="B145" s="509" t="s">
        <v>664</v>
      </c>
      <c r="C145" s="539"/>
      <c r="D145" s="540"/>
      <c r="E145" s="510">
        <f>E112</f>
        <v>3573.8293333333331</v>
      </c>
      <c r="F145" s="539"/>
      <c r="G145" s="540"/>
      <c r="H145" s="510">
        <f>H112</f>
        <v>3573.8293333333331</v>
      </c>
      <c r="I145" s="539"/>
      <c r="J145" s="540"/>
      <c r="K145" s="510">
        <f>K112</f>
        <v>3573.8293333333331</v>
      </c>
      <c r="L145" s="539"/>
      <c r="M145" s="540"/>
      <c r="N145" s="510">
        <f>N112</f>
        <v>4053.8293333333331</v>
      </c>
      <c r="O145" s="539"/>
      <c r="P145" s="540"/>
      <c r="Q145" s="510">
        <f>Q112</f>
        <v>4053.8293333333331</v>
      </c>
      <c r="R145" s="539"/>
      <c r="S145" s="540"/>
      <c r="T145" s="510">
        <f>T112</f>
        <v>3813.8293333333331</v>
      </c>
      <c r="U145" s="539"/>
      <c r="V145" s="540"/>
      <c r="W145" s="510">
        <f>W112</f>
        <v>3573.8293333333331</v>
      </c>
      <c r="X145" s="539"/>
      <c r="Y145" s="540"/>
      <c r="Z145" s="510">
        <f>Z112</f>
        <v>3093.8293333333331</v>
      </c>
      <c r="AA145" s="539"/>
      <c r="AB145" s="540"/>
      <c r="AC145" s="510">
        <f>AC112</f>
        <v>3093.8293333333331</v>
      </c>
      <c r="AD145" s="539"/>
      <c r="AE145" s="540"/>
      <c r="AF145" s="510">
        <f>AF112</f>
        <v>3093.8293333333331</v>
      </c>
      <c r="AG145" s="539"/>
      <c r="AH145" s="540"/>
      <c r="AI145" s="510">
        <f>AI112</f>
        <v>3093.8293333333331</v>
      </c>
      <c r="AJ145" s="539"/>
      <c r="AK145" s="540"/>
      <c r="AL145" s="510">
        <f>AL112</f>
        <v>3093.8293333333331</v>
      </c>
    </row>
    <row r="146" spans="1:41" x14ac:dyDescent="0.35">
      <c r="A146" s="469">
        <f>SUM(E146,H146,K146,N146,Q146,T146,W146,Z146,AC146,AF146,AI146,AL146)</f>
        <v>157366.96000000005</v>
      </c>
      <c r="B146" s="509" t="s">
        <v>665</v>
      </c>
      <c r="C146" s="539"/>
      <c r="D146" s="540"/>
      <c r="E146" s="510">
        <f>E122+E143</f>
        <v>15109.746666666666</v>
      </c>
      <c r="F146" s="539"/>
      <c r="G146" s="540"/>
      <c r="H146" s="510">
        <f>H122+H143</f>
        <v>12859.746666666666</v>
      </c>
      <c r="I146" s="539"/>
      <c r="J146" s="540"/>
      <c r="K146" s="510">
        <f>K122+K143</f>
        <v>13059.746666666666</v>
      </c>
      <c r="L146" s="539"/>
      <c r="M146" s="540"/>
      <c r="N146" s="510">
        <f>N122+N143</f>
        <v>12859.746666666666</v>
      </c>
      <c r="O146" s="539"/>
      <c r="P146" s="540"/>
      <c r="Q146" s="510">
        <f>Q122+Q143</f>
        <v>12859.746666666666</v>
      </c>
      <c r="R146" s="539"/>
      <c r="S146" s="540"/>
      <c r="T146" s="510">
        <f>T122+T143</f>
        <v>13059.746666666666</v>
      </c>
      <c r="U146" s="539"/>
      <c r="V146" s="540"/>
      <c r="W146" s="510">
        <f>W122+W143</f>
        <v>12859.746666666666</v>
      </c>
      <c r="X146" s="539"/>
      <c r="Y146" s="540"/>
      <c r="Z146" s="510">
        <f>Z122+Z143</f>
        <v>12859.746666666666</v>
      </c>
      <c r="AA146" s="539"/>
      <c r="AB146" s="540"/>
      <c r="AC146" s="510">
        <f>AC122+AC143</f>
        <v>13059.746666666666</v>
      </c>
      <c r="AD146" s="539"/>
      <c r="AE146" s="540"/>
      <c r="AF146" s="510">
        <f>AF122+AF143</f>
        <v>12859.746666666666</v>
      </c>
      <c r="AG146" s="539"/>
      <c r="AH146" s="540"/>
      <c r="AI146" s="510">
        <f>AI122+AI143</f>
        <v>12859.746666666666</v>
      </c>
      <c r="AJ146" s="539"/>
      <c r="AK146" s="540"/>
      <c r="AL146" s="510">
        <f>AL122+AL143</f>
        <v>13059.746666666666</v>
      </c>
    </row>
    <row r="147" spans="1:41" x14ac:dyDescent="0.35">
      <c r="A147" s="469">
        <f>SUM(E147,H147,K147,N147,Q147,T147,W147,Z147,AC147,AF147,AI147,AL147)</f>
        <v>-115681.00799999999</v>
      </c>
      <c r="B147" s="509" t="s">
        <v>669</v>
      </c>
      <c r="C147" s="539"/>
      <c r="D147" s="540"/>
      <c r="E147" s="510">
        <f>E145-E146</f>
        <v>-11535.917333333333</v>
      </c>
      <c r="F147" s="539"/>
      <c r="G147" s="540"/>
      <c r="H147" s="510">
        <f>H145-H146</f>
        <v>-9285.9173333333329</v>
      </c>
      <c r="I147" s="539"/>
      <c r="J147" s="540"/>
      <c r="K147" s="510">
        <f>K145-K146</f>
        <v>-9485.9173333333329</v>
      </c>
      <c r="L147" s="539"/>
      <c r="M147" s="540"/>
      <c r="N147" s="510">
        <f>N145-N146</f>
        <v>-8805.9173333333329</v>
      </c>
      <c r="O147" s="539"/>
      <c r="P147" s="540"/>
      <c r="Q147" s="510">
        <f>Q145-Q146</f>
        <v>-8805.9173333333329</v>
      </c>
      <c r="R147" s="539"/>
      <c r="S147" s="540"/>
      <c r="T147" s="510">
        <f>T145-T146</f>
        <v>-9245.9173333333329</v>
      </c>
      <c r="U147" s="539"/>
      <c r="V147" s="540"/>
      <c r="W147" s="510">
        <f>W145-W146</f>
        <v>-9285.9173333333329</v>
      </c>
      <c r="X147" s="539"/>
      <c r="Y147" s="540"/>
      <c r="Z147" s="510">
        <f>Z145-Z146</f>
        <v>-9765.9173333333329</v>
      </c>
      <c r="AA147" s="539"/>
      <c r="AB147" s="540"/>
      <c r="AC147" s="510">
        <f>AC145-AC146</f>
        <v>-9965.9173333333329</v>
      </c>
      <c r="AD147" s="539"/>
      <c r="AE147" s="540"/>
      <c r="AF147" s="510">
        <f>AF145-AF146</f>
        <v>-9765.9173333333329</v>
      </c>
      <c r="AG147" s="539"/>
      <c r="AH147" s="540"/>
      <c r="AI147" s="510">
        <f>AI145-AI146</f>
        <v>-9765.9173333333329</v>
      </c>
      <c r="AJ147" s="539"/>
      <c r="AK147" s="540"/>
      <c r="AL147" s="510">
        <f>AL145-AL146</f>
        <v>-9965.9173333333329</v>
      </c>
    </row>
    <row r="150" spans="1:41" x14ac:dyDescent="0.35">
      <c r="A150" s="537" t="s">
        <v>524</v>
      </c>
      <c r="B150" s="537"/>
      <c r="C150" s="537"/>
      <c r="D150" s="537"/>
      <c r="E150" s="537"/>
      <c r="F150" s="537"/>
      <c r="G150" s="537"/>
      <c r="H150" s="537"/>
      <c r="I150" s="537"/>
      <c r="J150" s="537"/>
      <c r="K150" s="537"/>
      <c r="L150" s="537"/>
      <c r="M150" s="537"/>
      <c r="N150" s="537"/>
      <c r="O150" s="537"/>
      <c r="P150" s="537"/>
      <c r="Q150" s="537"/>
      <c r="R150" s="537"/>
      <c r="S150" s="537"/>
      <c r="T150" s="537"/>
      <c r="U150" s="537"/>
      <c r="V150" s="537"/>
      <c r="W150" s="537"/>
      <c r="X150" s="537"/>
      <c r="Y150" s="537"/>
      <c r="Z150" s="537"/>
      <c r="AA150" s="537"/>
      <c r="AB150" s="537"/>
      <c r="AC150" s="537"/>
      <c r="AD150" s="537"/>
      <c r="AE150" s="537"/>
      <c r="AF150" s="537"/>
      <c r="AG150" s="537"/>
      <c r="AH150" s="537"/>
      <c r="AI150" s="537"/>
      <c r="AJ150" s="537"/>
      <c r="AK150" s="537"/>
      <c r="AL150" s="538"/>
    </row>
    <row r="151" spans="1:41" x14ac:dyDescent="0.35">
      <c r="C151" s="462"/>
      <c r="D151" s="463" t="s">
        <v>510</v>
      </c>
      <c r="E151" s="464" t="s">
        <v>555</v>
      </c>
      <c r="F151" s="462"/>
      <c r="G151" s="463" t="s">
        <v>510</v>
      </c>
      <c r="H151" s="464" t="s">
        <v>556</v>
      </c>
      <c r="I151" s="462"/>
      <c r="J151" s="463" t="s">
        <v>510</v>
      </c>
      <c r="K151" s="464" t="s">
        <v>557</v>
      </c>
      <c r="L151" s="462"/>
      <c r="M151" s="463" t="s">
        <v>510</v>
      </c>
      <c r="N151" s="464" t="s">
        <v>558</v>
      </c>
      <c r="O151" s="462"/>
      <c r="P151" s="463" t="s">
        <v>510</v>
      </c>
      <c r="Q151" s="464" t="s">
        <v>559</v>
      </c>
      <c r="R151" s="462"/>
      <c r="S151" s="463" t="s">
        <v>510</v>
      </c>
      <c r="T151" s="464" t="s">
        <v>560</v>
      </c>
      <c r="U151" s="462"/>
      <c r="V151" s="463" t="s">
        <v>510</v>
      </c>
      <c r="W151" s="464" t="s">
        <v>561</v>
      </c>
      <c r="X151" s="462"/>
      <c r="Y151" s="463" t="s">
        <v>510</v>
      </c>
      <c r="Z151" s="464" t="s">
        <v>562</v>
      </c>
      <c r="AA151" s="462"/>
      <c r="AB151" s="463" t="s">
        <v>510</v>
      </c>
      <c r="AC151" s="464" t="s">
        <v>563</v>
      </c>
      <c r="AD151" s="462"/>
      <c r="AE151" s="463" t="s">
        <v>510</v>
      </c>
      <c r="AF151" s="464" t="s">
        <v>564</v>
      </c>
      <c r="AG151" s="462"/>
      <c r="AH151" s="463" t="s">
        <v>510</v>
      </c>
      <c r="AI151" s="464" t="s">
        <v>565</v>
      </c>
      <c r="AJ151" s="462"/>
      <c r="AK151" s="463" t="s">
        <v>510</v>
      </c>
      <c r="AL151" s="464" t="s">
        <v>566</v>
      </c>
      <c r="AN151" t="s">
        <v>739</v>
      </c>
      <c r="AO151" s="446">
        <f>SUM(A155:A162)</f>
        <v>14976</v>
      </c>
    </row>
    <row r="152" spans="1:41" x14ac:dyDescent="0.35">
      <c r="B152" s="110"/>
      <c r="C152" s="465"/>
      <c r="D152" s="170" t="s">
        <v>35</v>
      </c>
      <c r="E152" s="469">
        <f>SUM(E155:E177)</f>
        <v>3973.8293333333331</v>
      </c>
      <c r="F152" s="465"/>
      <c r="G152" s="170" t="s">
        <v>35</v>
      </c>
      <c r="H152" s="469">
        <f>SUM(H155:H177)</f>
        <v>3973.8293333333331</v>
      </c>
      <c r="I152" s="465"/>
      <c r="J152" s="170" t="s">
        <v>35</v>
      </c>
      <c r="K152" s="469">
        <f>SUM(K155:K177)</f>
        <v>3973.8293333333331</v>
      </c>
      <c r="L152" s="465"/>
      <c r="M152" s="170" t="s">
        <v>35</v>
      </c>
      <c r="N152" s="469">
        <f>SUM(N155:N177)</f>
        <v>4453.8293333333331</v>
      </c>
      <c r="O152" s="465"/>
      <c r="P152" s="170" t="s">
        <v>35</v>
      </c>
      <c r="Q152" s="469">
        <f>SUM(Q155:Q177)</f>
        <v>4453.8293333333331</v>
      </c>
      <c r="R152" s="465"/>
      <c r="S152" s="170" t="s">
        <v>35</v>
      </c>
      <c r="T152" s="469">
        <f>SUM(T155:T177)</f>
        <v>4844.4063333333334</v>
      </c>
      <c r="U152" s="465"/>
      <c r="V152" s="170" t="s">
        <v>35</v>
      </c>
      <c r="W152" s="469">
        <f>SUM(W155:W177)</f>
        <v>4604.4063333333334</v>
      </c>
      <c r="X152" s="465"/>
      <c r="Y152" s="170" t="s">
        <v>35</v>
      </c>
      <c r="Z152" s="469">
        <f>SUM(Z155:Z177)</f>
        <v>3493.8293333333331</v>
      </c>
      <c r="AA152" s="465"/>
      <c r="AB152" s="170" t="s">
        <v>35</v>
      </c>
      <c r="AC152" s="469">
        <f>SUM(AC155:AC177)</f>
        <v>3493.8293333333331</v>
      </c>
      <c r="AD152" s="465"/>
      <c r="AE152" s="170" t="s">
        <v>35</v>
      </c>
      <c r="AF152" s="469">
        <f>SUM(AF155:AF177)</f>
        <v>3493.8293333333331</v>
      </c>
      <c r="AG152" s="465"/>
      <c r="AH152" s="170" t="s">
        <v>35</v>
      </c>
      <c r="AI152" s="469">
        <f>SUM(AI155:AI177)</f>
        <v>3493.8293333333331</v>
      </c>
      <c r="AJ152" s="465"/>
      <c r="AK152" s="170" t="s">
        <v>35</v>
      </c>
      <c r="AL152" s="469">
        <f>SUM(AL155:AL177)</f>
        <v>3493.8293333333331</v>
      </c>
      <c r="AN152" s="114" t="s">
        <v>740</v>
      </c>
      <c r="AO152" s="446">
        <f>SUM(A171,A172,A173,A176)</f>
        <v>15661.154</v>
      </c>
    </row>
    <row r="153" spans="1:41" x14ac:dyDescent="0.35">
      <c r="A153" s="474" t="s">
        <v>270</v>
      </c>
      <c r="B153" s="470"/>
      <c r="C153" s="546" t="s">
        <v>512</v>
      </c>
      <c r="D153" s="547"/>
      <c r="E153" s="548"/>
      <c r="F153" s="546" t="s">
        <v>512</v>
      </c>
      <c r="G153" s="547"/>
      <c r="H153" s="548"/>
      <c r="I153" s="546" t="s">
        <v>512</v>
      </c>
      <c r="J153" s="547"/>
      <c r="K153" s="548"/>
      <c r="L153" s="546" t="s">
        <v>512</v>
      </c>
      <c r="M153" s="547"/>
      <c r="N153" s="548"/>
      <c r="O153" s="546" t="s">
        <v>512</v>
      </c>
      <c r="P153" s="547"/>
      <c r="Q153" s="548"/>
      <c r="R153" s="546" t="s">
        <v>512</v>
      </c>
      <c r="S153" s="547"/>
      <c r="T153" s="548"/>
      <c r="U153" s="546" t="s">
        <v>512</v>
      </c>
      <c r="V153" s="547"/>
      <c r="W153" s="548"/>
      <c r="X153" s="546" t="s">
        <v>512</v>
      </c>
      <c r="Y153" s="547"/>
      <c r="Z153" s="548"/>
      <c r="AA153" s="546" t="s">
        <v>512</v>
      </c>
      <c r="AB153" s="547"/>
      <c r="AC153" s="548"/>
      <c r="AD153" s="546" t="s">
        <v>512</v>
      </c>
      <c r="AE153" s="547"/>
      <c r="AF153" s="548"/>
      <c r="AG153" s="546" t="s">
        <v>512</v>
      </c>
      <c r="AH153" s="547"/>
      <c r="AI153" s="548"/>
      <c r="AJ153" s="546" t="s">
        <v>512</v>
      </c>
      <c r="AK153" s="547"/>
      <c r="AL153" s="548"/>
      <c r="AN153" s="114" t="s">
        <v>741</v>
      </c>
      <c r="AO153" s="446">
        <f>SUM(A163:A170)</f>
        <v>11160</v>
      </c>
    </row>
    <row r="154" spans="1:41" x14ac:dyDescent="0.35">
      <c r="A154" s="471">
        <f>SUM(A155:A177)</f>
        <v>47747.106</v>
      </c>
      <c r="B154" s="473" t="s">
        <v>699</v>
      </c>
      <c r="C154" s="466" t="s">
        <v>509</v>
      </c>
      <c r="D154" s="467" t="s">
        <v>15</v>
      </c>
      <c r="E154" s="468" t="s">
        <v>368</v>
      </c>
      <c r="F154" s="466" t="s">
        <v>509</v>
      </c>
      <c r="G154" s="467" t="s">
        <v>15</v>
      </c>
      <c r="H154" s="468" t="s">
        <v>368</v>
      </c>
      <c r="I154" s="466" t="s">
        <v>509</v>
      </c>
      <c r="J154" s="467" t="s">
        <v>15</v>
      </c>
      <c r="K154" s="468" t="s">
        <v>368</v>
      </c>
      <c r="L154" s="466" t="s">
        <v>509</v>
      </c>
      <c r="M154" s="467" t="s">
        <v>15</v>
      </c>
      <c r="N154" s="468" t="s">
        <v>368</v>
      </c>
      <c r="O154" s="466" t="s">
        <v>509</v>
      </c>
      <c r="P154" s="467" t="s">
        <v>15</v>
      </c>
      <c r="Q154" s="468" t="s">
        <v>368</v>
      </c>
      <c r="R154" s="466" t="s">
        <v>509</v>
      </c>
      <c r="S154" s="467" t="s">
        <v>15</v>
      </c>
      <c r="T154" s="468" t="s">
        <v>368</v>
      </c>
      <c r="U154" s="466" t="s">
        <v>509</v>
      </c>
      <c r="V154" s="467" t="s">
        <v>15</v>
      </c>
      <c r="W154" s="468" t="s">
        <v>368</v>
      </c>
      <c r="X154" s="466" t="s">
        <v>509</v>
      </c>
      <c r="Y154" s="467" t="s">
        <v>15</v>
      </c>
      <c r="Z154" s="468" t="s">
        <v>368</v>
      </c>
      <c r="AA154" s="466" t="s">
        <v>509</v>
      </c>
      <c r="AB154" s="467" t="s">
        <v>15</v>
      </c>
      <c r="AC154" s="468" t="s">
        <v>368</v>
      </c>
      <c r="AD154" s="466" t="s">
        <v>509</v>
      </c>
      <c r="AE154" s="467" t="s">
        <v>15</v>
      </c>
      <c r="AF154" s="468" t="s">
        <v>368</v>
      </c>
      <c r="AG154" s="466" t="s">
        <v>509</v>
      </c>
      <c r="AH154" s="467" t="s">
        <v>15</v>
      </c>
      <c r="AI154" s="468" t="s">
        <v>368</v>
      </c>
      <c r="AJ154" s="466" t="s">
        <v>509</v>
      </c>
      <c r="AK154" s="467" t="s">
        <v>15</v>
      </c>
      <c r="AL154" s="468" t="s">
        <v>368</v>
      </c>
    </row>
    <row r="155" spans="1:41" x14ac:dyDescent="0.35">
      <c r="A155" s="471">
        <f t="shared" ref="A155:A175" si="9">SUM(E155,H155,K155,N155,Q155,T155,W155,Z155,AC155,AF155,AI155,AL155)</f>
        <v>0</v>
      </c>
      <c r="B155" s="459" t="s">
        <v>483</v>
      </c>
      <c r="C155" s="457">
        <v>0</v>
      </c>
      <c r="D155" s="460" t="str">
        <f>RevenueStreams!$E$12</f>
        <v>Per Hr</v>
      </c>
      <c r="E155" s="461">
        <f>C155*RevenueStreams!$D$12</f>
        <v>0</v>
      </c>
      <c r="F155" s="457">
        <v>0</v>
      </c>
      <c r="G155" s="460" t="str">
        <f>RevenueStreams!$E$12</f>
        <v>Per Hr</v>
      </c>
      <c r="H155" s="461">
        <f>F155*RevenueStreams!$D$12</f>
        <v>0</v>
      </c>
      <c r="I155" s="457">
        <v>0</v>
      </c>
      <c r="J155" s="460" t="str">
        <f>RevenueStreams!$E$12</f>
        <v>Per Hr</v>
      </c>
      <c r="K155" s="461">
        <f>I155*RevenueStreams!$D$12</f>
        <v>0</v>
      </c>
      <c r="L155" s="457">
        <v>0</v>
      </c>
      <c r="M155" s="456" t="str">
        <f>RevenueStreams!$E$12</f>
        <v>Per Hr</v>
      </c>
      <c r="N155" s="458">
        <f>L155*RevenueStreams!$D$12</f>
        <v>0</v>
      </c>
      <c r="O155" s="457">
        <v>0</v>
      </c>
      <c r="P155" s="456" t="str">
        <f>RevenueStreams!$E$12</f>
        <v>Per Hr</v>
      </c>
      <c r="Q155" s="458">
        <f>O155*RevenueStreams!$D$12</f>
        <v>0</v>
      </c>
      <c r="R155" s="457">
        <v>0</v>
      </c>
      <c r="S155" s="456" t="str">
        <f>RevenueStreams!$E$12</f>
        <v>Per Hr</v>
      </c>
      <c r="T155" s="458">
        <f>R155*RevenueStreams!$D$12</f>
        <v>0</v>
      </c>
      <c r="U155" s="457">
        <v>0</v>
      </c>
      <c r="V155" s="456" t="str">
        <f>RevenueStreams!$E$12</f>
        <v>Per Hr</v>
      </c>
      <c r="W155" s="458">
        <f>U155*RevenueStreams!$D$12</f>
        <v>0</v>
      </c>
      <c r="X155" s="457">
        <v>0</v>
      </c>
      <c r="Y155" s="456" t="str">
        <f>RevenueStreams!$E$12</f>
        <v>Per Hr</v>
      </c>
      <c r="Z155" s="458">
        <f>X155*RevenueStreams!$D$12</f>
        <v>0</v>
      </c>
      <c r="AA155" s="457">
        <v>0</v>
      </c>
      <c r="AB155" s="456" t="str">
        <f>RevenueStreams!$E$12</f>
        <v>Per Hr</v>
      </c>
      <c r="AC155" s="458">
        <f>AA155*RevenueStreams!$D$12</f>
        <v>0</v>
      </c>
      <c r="AD155" s="457">
        <v>0</v>
      </c>
      <c r="AE155" s="456" t="str">
        <f>RevenueStreams!$E$12</f>
        <v>Per Hr</v>
      </c>
      <c r="AF155" s="458">
        <f>AD155*RevenueStreams!$D$12</f>
        <v>0</v>
      </c>
      <c r="AG155" s="457">
        <v>0</v>
      </c>
      <c r="AH155" s="456" t="str">
        <f>RevenueStreams!$E$12</f>
        <v>Per Hr</v>
      </c>
      <c r="AI155" s="458">
        <f>AG155*RevenueStreams!$D$12</f>
        <v>0</v>
      </c>
      <c r="AJ155" s="457">
        <v>0</v>
      </c>
      <c r="AK155" s="456" t="str">
        <f>RevenueStreams!$E$12</f>
        <v>Per Hr</v>
      </c>
      <c r="AL155" s="458">
        <f>AJ155*RevenueStreams!$D$12</f>
        <v>0</v>
      </c>
    </row>
    <row r="156" spans="1:41" x14ac:dyDescent="0.35">
      <c r="A156" s="471">
        <f t="shared" si="9"/>
        <v>2304</v>
      </c>
      <c r="B156" s="459" t="s">
        <v>484</v>
      </c>
      <c r="C156" s="457">
        <v>1</v>
      </c>
      <c r="D156" s="460" t="str">
        <f>RevenueStreams!$E$13</f>
        <v>Per Mo</v>
      </c>
      <c r="E156" s="461">
        <f>C156*RevenueStreams!$D$13</f>
        <v>192</v>
      </c>
      <c r="F156" s="457">
        <v>1</v>
      </c>
      <c r="G156" s="460" t="str">
        <f>RevenueStreams!$E$13</f>
        <v>Per Mo</v>
      </c>
      <c r="H156" s="461">
        <f>F156*RevenueStreams!$D$13</f>
        <v>192</v>
      </c>
      <c r="I156" s="457">
        <v>1</v>
      </c>
      <c r="J156" s="460" t="str">
        <f>RevenueStreams!$E$13</f>
        <v>Per Mo</v>
      </c>
      <c r="K156" s="461">
        <f>I156*RevenueStreams!$D$13</f>
        <v>192</v>
      </c>
      <c r="L156" s="457">
        <v>1</v>
      </c>
      <c r="M156" s="456" t="str">
        <f>RevenueStreams!$E$13</f>
        <v>Per Mo</v>
      </c>
      <c r="N156" s="458">
        <f>L156*RevenueStreams!$D$13</f>
        <v>192</v>
      </c>
      <c r="O156" s="457">
        <v>1</v>
      </c>
      <c r="P156" s="456" t="str">
        <f>RevenueStreams!$E$13</f>
        <v>Per Mo</v>
      </c>
      <c r="Q156" s="458">
        <f>O156*RevenueStreams!$D$13</f>
        <v>192</v>
      </c>
      <c r="R156" s="457">
        <v>1</v>
      </c>
      <c r="S156" s="456" t="str">
        <f>RevenueStreams!$E$13</f>
        <v>Per Mo</v>
      </c>
      <c r="T156" s="458">
        <f>R156*RevenueStreams!$D$13</f>
        <v>192</v>
      </c>
      <c r="U156" s="457">
        <v>1</v>
      </c>
      <c r="V156" s="456" t="str">
        <f>RevenueStreams!$E$13</f>
        <v>Per Mo</v>
      </c>
      <c r="W156" s="458">
        <f>U156*RevenueStreams!$D$13</f>
        <v>192</v>
      </c>
      <c r="X156" s="457">
        <v>1</v>
      </c>
      <c r="Y156" s="456" t="str">
        <f>RevenueStreams!$E$13</f>
        <v>Per Mo</v>
      </c>
      <c r="Z156" s="458">
        <f>X156*RevenueStreams!$D$13</f>
        <v>192</v>
      </c>
      <c r="AA156" s="457">
        <v>1</v>
      </c>
      <c r="AB156" s="456" t="str">
        <f>RevenueStreams!$E$13</f>
        <v>Per Mo</v>
      </c>
      <c r="AC156" s="458">
        <f>AA156*RevenueStreams!$D$13</f>
        <v>192</v>
      </c>
      <c r="AD156" s="457">
        <v>1</v>
      </c>
      <c r="AE156" s="456" t="str">
        <f>RevenueStreams!$E$13</f>
        <v>Per Mo</v>
      </c>
      <c r="AF156" s="458">
        <f>AD156*RevenueStreams!$D$13</f>
        <v>192</v>
      </c>
      <c r="AG156" s="457">
        <v>1</v>
      </c>
      <c r="AH156" s="456" t="str">
        <f>RevenueStreams!$E$13</f>
        <v>Per Mo</v>
      </c>
      <c r="AI156" s="458">
        <f>AG156*RevenueStreams!$D$13</f>
        <v>192</v>
      </c>
      <c r="AJ156" s="457">
        <v>1</v>
      </c>
      <c r="AK156" s="456" t="str">
        <f>RevenueStreams!$E$13</f>
        <v>Per Mo</v>
      </c>
      <c r="AL156" s="458">
        <f>AJ156*RevenueStreams!$D$13</f>
        <v>192</v>
      </c>
    </row>
    <row r="157" spans="1:41" x14ac:dyDescent="0.35">
      <c r="A157" s="471">
        <f t="shared" si="9"/>
        <v>2304</v>
      </c>
      <c r="B157" s="459" t="s">
        <v>485</v>
      </c>
      <c r="C157" s="457">
        <v>1</v>
      </c>
      <c r="D157" s="460" t="str">
        <f>RevenueStreams!$E$14</f>
        <v>Per Mo</v>
      </c>
      <c r="E157" s="461">
        <f>C157*RevenueStreams!$D$14</f>
        <v>192</v>
      </c>
      <c r="F157" s="457">
        <v>1</v>
      </c>
      <c r="G157" s="460" t="str">
        <f>RevenueStreams!$E$14</f>
        <v>Per Mo</v>
      </c>
      <c r="H157" s="461">
        <f>F157*RevenueStreams!$D$14</f>
        <v>192</v>
      </c>
      <c r="I157" s="457">
        <v>1</v>
      </c>
      <c r="J157" s="460" t="str">
        <f>RevenueStreams!$E$14</f>
        <v>Per Mo</v>
      </c>
      <c r="K157" s="461">
        <f>I157*RevenueStreams!$D$14</f>
        <v>192</v>
      </c>
      <c r="L157" s="457">
        <v>1</v>
      </c>
      <c r="M157" s="460" t="str">
        <f>RevenueStreams!$E$14</f>
        <v>Per Mo</v>
      </c>
      <c r="N157" s="461">
        <f>L157*RevenueStreams!$D$14</f>
        <v>192</v>
      </c>
      <c r="O157" s="457">
        <v>1</v>
      </c>
      <c r="P157" s="460" t="str">
        <f>RevenueStreams!$E$14</f>
        <v>Per Mo</v>
      </c>
      <c r="Q157" s="461">
        <f>O157*RevenueStreams!$D$14</f>
        <v>192</v>
      </c>
      <c r="R157" s="457">
        <v>1</v>
      </c>
      <c r="S157" s="460" t="str">
        <f>RevenueStreams!$E$14</f>
        <v>Per Mo</v>
      </c>
      <c r="T157" s="461">
        <f>R157*RevenueStreams!$D$14</f>
        <v>192</v>
      </c>
      <c r="U157" s="457">
        <v>1</v>
      </c>
      <c r="V157" s="460" t="str">
        <f>RevenueStreams!$E$14</f>
        <v>Per Mo</v>
      </c>
      <c r="W157" s="461">
        <f>U157*RevenueStreams!$D$14</f>
        <v>192</v>
      </c>
      <c r="X157" s="457">
        <v>1</v>
      </c>
      <c r="Y157" s="460" t="str">
        <f>RevenueStreams!$E$14</f>
        <v>Per Mo</v>
      </c>
      <c r="Z157" s="461">
        <f>X157*RevenueStreams!$D$14</f>
        <v>192</v>
      </c>
      <c r="AA157" s="457">
        <v>1</v>
      </c>
      <c r="AB157" s="460" t="str">
        <f>RevenueStreams!$E$14</f>
        <v>Per Mo</v>
      </c>
      <c r="AC157" s="461">
        <f>AA157*RevenueStreams!$D$14</f>
        <v>192</v>
      </c>
      <c r="AD157" s="457">
        <v>1</v>
      </c>
      <c r="AE157" s="460" t="str">
        <f>RevenueStreams!$E$14</f>
        <v>Per Mo</v>
      </c>
      <c r="AF157" s="461">
        <f>AD157*RevenueStreams!$D$14</f>
        <v>192</v>
      </c>
      <c r="AG157" s="457">
        <v>1</v>
      </c>
      <c r="AH157" s="460" t="str">
        <f>RevenueStreams!$E$14</f>
        <v>Per Mo</v>
      </c>
      <c r="AI157" s="461">
        <f>AG157*RevenueStreams!$D$14</f>
        <v>192</v>
      </c>
      <c r="AJ157" s="457">
        <v>1</v>
      </c>
      <c r="AK157" s="460" t="str">
        <f>RevenueStreams!$E$14</f>
        <v>Per Mo</v>
      </c>
      <c r="AL157" s="461">
        <f>AJ157*RevenueStreams!$D$14</f>
        <v>192</v>
      </c>
    </row>
    <row r="158" spans="1:41" x14ac:dyDescent="0.35">
      <c r="A158" s="471">
        <f t="shared" si="9"/>
        <v>0</v>
      </c>
      <c r="B158" s="459" t="s">
        <v>486</v>
      </c>
      <c r="C158" s="457">
        <v>0</v>
      </c>
      <c r="D158" s="460" t="str">
        <f>RevenueStreams!$E$15</f>
        <v>Per Mo</v>
      </c>
      <c r="E158" s="461">
        <f>C158*RevenueStreams!$D$15</f>
        <v>0</v>
      </c>
      <c r="F158" s="457">
        <v>0</v>
      </c>
      <c r="G158" s="460" t="str">
        <f>RevenueStreams!$E$15</f>
        <v>Per Mo</v>
      </c>
      <c r="H158" s="461">
        <f>F158*RevenueStreams!$D$15</f>
        <v>0</v>
      </c>
      <c r="I158" s="457">
        <v>0</v>
      </c>
      <c r="J158" s="460" t="str">
        <f>RevenueStreams!$E$15</f>
        <v>Per Mo</v>
      </c>
      <c r="K158" s="461">
        <f>I158*RevenueStreams!$D$15</f>
        <v>0</v>
      </c>
      <c r="L158" s="457">
        <v>0</v>
      </c>
      <c r="M158" s="460" t="str">
        <f>RevenueStreams!$E$15</f>
        <v>Per Mo</v>
      </c>
      <c r="N158" s="461">
        <f>L158*RevenueStreams!$D$15</f>
        <v>0</v>
      </c>
      <c r="O158" s="457">
        <v>0</v>
      </c>
      <c r="P158" s="460" t="str">
        <f>RevenueStreams!$E$15</f>
        <v>Per Mo</v>
      </c>
      <c r="Q158" s="461">
        <f>O158*RevenueStreams!$D$15</f>
        <v>0</v>
      </c>
      <c r="R158" s="457">
        <v>0</v>
      </c>
      <c r="S158" s="460" t="str">
        <f>RevenueStreams!$E$15</f>
        <v>Per Mo</v>
      </c>
      <c r="T158" s="461">
        <f>R158*RevenueStreams!$D$15</f>
        <v>0</v>
      </c>
      <c r="U158" s="457">
        <v>0</v>
      </c>
      <c r="V158" s="460" t="str">
        <f>RevenueStreams!$E$15</f>
        <v>Per Mo</v>
      </c>
      <c r="W158" s="461">
        <f>U158*RevenueStreams!$D$15</f>
        <v>0</v>
      </c>
      <c r="X158" s="457">
        <v>0</v>
      </c>
      <c r="Y158" s="460" t="str">
        <f>RevenueStreams!$E$15</f>
        <v>Per Mo</v>
      </c>
      <c r="Z158" s="461">
        <f>X158*RevenueStreams!$D$15</f>
        <v>0</v>
      </c>
      <c r="AA158" s="457">
        <v>0</v>
      </c>
      <c r="AB158" s="460" t="str">
        <f>RevenueStreams!$E$15</f>
        <v>Per Mo</v>
      </c>
      <c r="AC158" s="461">
        <f>AA158*RevenueStreams!$D$15</f>
        <v>0</v>
      </c>
      <c r="AD158" s="457">
        <v>0</v>
      </c>
      <c r="AE158" s="460" t="str">
        <f>RevenueStreams!$E$15</f>
        <v>Per Mo</v>
      </c>
      <c r="AF158" s="461">
        <f>AD158*RevenueStreams!$D$15</f>
        <v>0</v>
      </c>
      <c r="AG158" s="457">
        <v>0</v>
      </c>
      <c r="AH158" s="460" t="str">
        <f>RevenueStreams!$E$15</f>
        <v>Per Mo</v>
      </c>
      <c r="AI158" s="461">
        <f>AG158*RevenueStreams!$D$15</f>
        <v>0</v>
      </c>
      <c r="AJ158" s="457">
        <v>0</v>
      </c>
      <c r="AK158" s="460" t="str">
        <f>RevenueStreams!$E$15</f>
        <v>Per Mo</v>
      </c>
      <c r="AL158" s="461">
        <f>AJ158*RevenueStreams!$D$15</f>
        <v>0</v>
      </c>
    </row>
    <row r="159" spans="1:41" x14ac:dyDescent="0.35">
      <c r="A159" s="471">
        <f t="shared" si="9"/>
        <v>3456</v>
      </c>
      <c r="B159" s="459" t="s">
        <v>530</v>
      </c>
      <c r="C159" s="457">
        <v>1</v>
      </c>
      <c r="D159" s="460" t="str">
        <f>RevenueStreams!$E$16</f>
        <v>Per Mo</v>
      </c>
      <c r="E159" s="461">
        <f>C159*RevenueStreams!$D$16</f>
        <v>288</v>
      </c>
      <c r="F159" s="457">
        <v>1</v>
      </c>
      <c r="G159" s="460" t="str">
        <f>RevenueStreams!$E$16</f>
        <v>Per Mo</v>
      </c>
      <c r="H159" s="461">
        <f>F159*RevenueStreams!$D$16</f>
        <v>288</v>
      </c>
      <c r="I159" s="457">
        <v>1</v>
      </c>
      <c r="J159" s="460" t="str">
        <f>RevenueStreams!$E$16</f>
        <v>Per Mo</v>
      </c>
      <c r="K159" s="461">
        <f>I159*RevenueStreams!$D$16</f>
        <v>288</v>
      </c>
      <c r="L159" s="457">
        <v>1</v>
      </c>
      <c r="M159" s="460" t="str">
        <f>RevenueStreams!$E$16</f>
        <v>Per Mo</v>
      </c>
      <c r="N159" s="461">
        <f>L159*RevenueStreams!$D$16</f>
        <v>288</v>
      </c>
      <c r="O159" s="457">
        <v>1</v>
      </c>
      <c r="P159" s="460" t="str">
        <f>RevenueStreams!$E$16</f>
        <v>Per Mo</v>
      </c>
      <c r="Q159" s="461">
        <f>O159*RevenueStreams!$D$16</f>
        <v>288</v>
      </c>
      <c r="R159" s="457">
        <v>1</v>
      </c>
      <c r="S159" s="460" t="str">
        <f>RevenueStreams!$E$16</f>
        <v>Per Mo</v>
      </c>
      <c r="T159" s="461">
        <f>R159*RevenueStreams!$D$16</f>
        <v>288</v>
      </c>
      <c r="U159" s="457">
        <v>1</v>
      </c>
      <c r="V159" s="460" t="str">
        <f>RevenueStreams!$E$16</f>
        <v>Per Mo</v>
      </c>
      <c r="W159" s="461">
        <f>U159*RevenueStreams!$D$16</f>
        <v>288</v>
      </c>
      <c r="X159" s="457">
        <v>1</v>
      </c>
      <c r="Y159" s="460" t="str">
        <f>RevenueStreams!$E$16</f>
        <v>Per Mo</v>
      </c>
      <c r="Z159" s="461">
        <f>X159*RevenueStreams!$D$16</f>
        <v>288</v>
      </c>
      <c r="AA159" s="457">
        <v>1</v>
      </c>
      <c r="AB159" s="460" t="str">
        <f>RevenueStreams!$E$16</f>
        <v>Per Mo</v>
      </c>
      <c r="AC159" s="461">
        <f>AA159*RevenueStreams!$D$16</f>
        <v>288</v>
      </c>
      <c r="AD159" s="457">
        <v>1</v>
      </c>
      <c r="AE159" s="460" t="str">
        <f>RevenueStreams!$E$16</f>
        <v>Per Mo</v>
      </c>
      <c r="AF159" s="461">
        <f>AD159*RevenueStreams!$D$16</f>
        <v>288</v>
      </c>
      <c r="AG159" s="457">
        <v>1</v>
      </c>
      <c r="AH159" s="460" t="str">
        <f>RevenueStreams!$E$16</f>
        <v>Per Mo</v>
      </c>
      <c r="AI159" s="461">
        <f>AG159*RevenueStreams!$D$16</f>
        <v>288</v>
      </c>
      <c r="AJ159" s="457">
        <v>1</v>
      </c>
      <c r="AK159" s="460" t="str">
        <f>RevenueStreams!$E$16</f>
        <v>Per Mo</v>
      </c>
      <c r="AL159" s="461">
        <f>AJ159*RevenueStreams!$D$16</f>
        <v>288</v>
      </c>
    </row>
    <row r="160" spans="1:41" x14ac:dyDescent="0.35">
      <c r="A160" s="471">
        <f t="shared" si="9"/>
        <v>0</v>
      </c>
      <c r="B160" s="459" t="s">
        <v>487</v>
      </c>
      <c r="C160" s="457">
        <v>0</v>
      </c>
      <c r="D160" s="460" t="str">
        <f>RevenueStreams!$E$17</f>
        <v>Per Mo</v>
      </c>
      <c r="E160" s="461">
        <f>C160*RevenueStreams!$D$17</f>
        <v>0</v>
      </c>
      <c r="F160" s="457">
        <v>0</v>
      </c>
      <c r="G160" s="460" t="str">
        <f>RevenueStreams!$E$17</f>
        <v>Per Mo</v>
      </c>
      <c r="H160" s="461">
        <f>F160*RevenueStreams!$D$17</f>
        <v>0</v>
      </c>
      <c r="I160" s="457">
        <v>0</v>
      </c>
      <c r="J160" s="460" t="str">
        <f>RevenueStreams!$E$17</f>
        <v>Per Mo</v>
      </c>
      <c r="K160" s="461">
        <f>I160*RevenueStreams!$D$17</f>
        <v>0</v>
      </c>
      <c r="L160" s="457">
        <v>0</v>
      </c>
      <c r="M160" s="460" t="str">
        <f>RevenueStreams!$E$17</f>
        <v>Per Mo</v>
      </c>
      <c r="N160" s="461">
        <f>L160*RevenueStreams!$D$17</f>
        <v>0</v>
      </c>
      <c r="O160" s="457">
        <v>0</v>
      </c>
      <c r="P160" s="460" t="str">
        <f>RevenueStreams!$E$17</f>
        <v>Per Mo</v>
      </c>
      <c r="Q160" s="461">
        <f>O160*RevenueStreams!$D$17</f>
        <v>0</v>
      </c>
      <c r="R160" s="457">
        <v>0</v>
      </c>
      <c r="S160" s="460" t="str">
        <f>RevenueStreams!$E$17</f>
        <v>Per Mo</v>
      </c>
      <c r="T160" s="461">
        <f>R160*RevenueStreams!$D$17</f>
        <v>0</v>
      </c>
      <c r="U160" s="457">
        <v>0</v>
      </c>
      <c r="V160" s="460" t="str">
        <f>RevenueStreams!$E$17</f>
        <v>Per Mo</v>
      </c>
      <c r="W160" s="461">
        <f>U160*RevenueStreams!$D$17</f>
        <v>0</v>
      </c>
      <c r="X160" s="457">
        <v>0</v>
      </c>
      <c r="Y160" s="460" t="str">
        <f>RevenueStreams!$E$17</f>
        <v>Per Mo</v>
      </c>
      <c r="Z160" s="461">
        <f>X160*RevenueStreams!$D$17</f>
        <v>0</v>
      </c>
      <c r="AA160" s="457">
        <v>0</v>
      </c>
      <c r="AB160" s="460" t="str">
        <f>RevenueStreams!$E$17</f>
        <v>Per Mo</v>
      </c>
      <c r="AC160" s="461">
        <f>AA160*RevenueStreams!$D$17</f>
        <v>0</v>
      </c>
      <c r="AD160" s="457">
        <v>0</v>
      </c>
      <c r="AE160" s="460" t="str">
        <f>RevenueStreams!$E$17</f>
        <v>Per Mo</v>
      </c>
      <c r="AF160" s="461">
        <f>AD160*RevenueStreams!$D$17</f>
        <v>0</v>
      </c>
      <c r="AG160" s="457">
        <v>0</v>
      </c>
      <c r="AH160" s="460" t="str">
        <f>RevenueStreams!$E$17</f>
        <v>Per Mo</v>
      </c>
      <c r="AI160" s="461">
        <f>AG160*RevenueStreams!$D$17</f>
        <v>0</v>
      </c>
      <c r="AJ160" s="457">
        <v>0</v>
      </c>
      <c r="AK160" s="460" t="str">
        <f>RevenueStreams!$E$17</f>
        <v>Per Mo</v>
      </c>
      <c r="AL160" s="461">
        <f>AJ160*RevenueStreams!$D$17</f>
        <v>0</v>
      </c>
    </row>
    <row r="161" spans="1:38" x14ac:dyDescent="0.35">
      <c r="A161" s="471">
        <f t="shared" si="9"/>
        <v>0</v>
      </c>
      <c r="B161" s="459" t="s">
        <v>488</v>
      </c>
      <c r="C161" s="457">
        <v>0</v>
      </c>
      <c r="D161" s="460" t="str">
        <f>RevenueStreams!$E$18</f>
        <v>Per Mo</v>
      </c>
      <c r="E161" s="461">
        <f>C161*RevenueStreams!$D$18</f>
        <v>0</v>
      </c>
      <c r="F161" s="457">
        <v>0</v>
      </c>
      <c r="G161" s="460" t="str">
        <f>RevenueStreams!$E$18</f>
        <v>Per Mo</v>
      </c>
      <c r="H161" s="461">
        <f>F161*RevenueStreams!$D$18</f>
        <v>0</v>
      </c>
      <c r="I161" s="457">
        <v>0</v>
      </c>
      <c r="J161" s="460" t="str">
        <f>RevenueStreams!$E$18</f>
        <v>Per Mo</v>
      </c>
      <c r="K161" s="461">
        <f>I161*RevenueStreams!$D$18</f>
        <v>0</v>
      </c>
      <c r="L161" s="457">
        <v>0</v>
      </c>
      <c r="M161" s="460" t="str">
        <f>RevenueStreams!$E$18</f>
        <v>Per Mo</v>
      </c>
      <c r="N161" s="461">
        <f>L161*RevenueStreams!$D$18</f>
        <v>0</v>
      </c>
      <c r="O161" s="457">
        <v>0</v>
      </c>
      <c r="P161" s="460" t="str">
        <f>RevenueStreams!$E$18</f>
        <v>Per Mo</v>
      </c>
      <c r="Q161" s="461">
        <f>O161*RevenueStreams!$D$18</f>
        <v>0</v>
      </c>
      <c r="R161" s="457">
        <v>0</v>
      </c>
      <c r="S161" s="460" t="str">
        <f>RevenueStreams!$E$18</f>
        <v>Per Mo</v>
      </c>
      <c r="T161" s="461">
        <f>R161*RevenueStreams!$D$18</f>
        <v>0</v>
      </c>
      <c r="U161" s="457">
        <v>0</v>
      </c>
      <c r="V161" s="460" t="str">
        <f>RevenueStreams!$E$18</f>
        <v>Per Mo</v>
      </c>
      <c r="W161" s="461">
        <f>U161*RevenueStreams!$D$18</f>
        <v>0</v>
      </c>
      <c r="X161" s="457">
        <v>0</v>
      </c>
      <c r="Y161" s="460" t="str">
        <f>RevenueStreams!$E$18</f>
        <v>Per Mo</v>
      </c>
      <c r="Z161" s="461">
        <f>X161*RevenueStreams!$D$18</f>
        <v>0</v>
      </c>
      <c r="AA161" s="457">
        <v>0</v>
      </c>
      <c r="AB161" s="460" t="str">
        <f>RevenueStreams!$E$18</f>
        <v>Per Mo</v>
      </c>
      <c r="AC161" s="461">
        <f>AA161*RevenueStreams!$D$18</f>
        <v>0</v>
      </c>
      <c r="AD161" s="457">
        <v>0</v>
      </c>
      <c r="AE161" s="460" t="str">
        <f>RevenueStreams!$E$18</f>
        <v>Per Mo</v>
      </c>
      <c r="AF161" s="461">
        <f>AD161*RevenueStreams!$D$18</f>
        <v>0</v>
      </c>
      <c r="AG161" s="457">
        <v>0</v>
      </c>
      <c r="AH161" s="460" t="str">
        <f>RevenueStreams!$E$18</f>
        <v>Per Mo</v>
      </c>
      <c r="AI161" s="461">
        <f>AG161*RevenueStreams!$D$18</f>
        <v>0</v>
      </c>
      <c r="AJ161" s="457">
        <v>0</v>
      </c>
      <c r="AK161" s="460" t="str">
        <f>RevenueStreams!$E$18</f>
        <v>Per Mo</v>
      </c>
      <c r="AL161" s="461">
        <f>AJ161*RevenueStreams!$D$18</f>
        <v>0</v>
      </c>
    </row>
    <row r="162" spans="1:38" x14ac:dyDescent="0.35">
      <c r="A162" s="471">
        <f t="shared" si="9"/>
        <v>6912</v>
      </c>
      <c r="B162" s="459" t="s">
        <v>489</v>
      </c>
      <c r="C162" s="457">
        <v>1</v>
      </c>
      <c r="D162" s="460" t="str">
        <f>RevenueStreams!$E$19</f>
        <v>Per Mo</v>
      </c>
      <c r="E162" s="461">
        <f>C162*RevenueStreams!$D$19</f>
        <v>576</v>
      </c>
      <c r="F162" s="457">
        <v>1</v>
      </c>
      <c r="G162" s="460" t="str">
        <f>RevenueStreams!$E$19</f>
        <v>Per Mo</v>
      </c>
      <c r="H162" s="461">
        <f>F162*RevenueStreams!$D$19</f>
        <v>576</v>
      </c>
      <c r="I162" s="457">
        <v>1</v>
      </c>
      <c r="J162" s="460" t="str">
        <f>RevenueStreams!$E$19</f>
        <v>Per Mo</v>
      </c>
      <c r="K162" s="461">
        <f>I162*RevenueStreams!$D$19</f>
        <v>576</v>
      </c>
      <c r="L162" s="457">
        <v>1</v>
      </c>
      <c r="M162" s="460" t="str">
        <f>RevenueStreams!$E$19</f>
        <v>Per Mo</v>
      </c>
      <c r="N162" s="461">
        <f>L162*RevenueStreams!$D$19</f>
        <v>576</v>
      </c>
      <c r="O162" s="457">
        <v>1</v>
      </c>
      <c r="P162" s="460" t="str">
        <f>RevenueStreams!$E$19</f>
        <v>Per Mo</v>
      </c>
      <c r="Q162" s="461">
        <f>O162*RevenueStreams!$D$19</f>
        <v>576</v>
      </c>
      <c r="R162" s="457">
        <v>1</v>
      </c>
      <c r="S162" s="460" t="str">
        <f>RevenueStreams!$E$19</f>
        <v>Per Mo</v>
      </c>
      <c r="T162" s="461">
        <f>R162*RevenueStreams!$D$19</f>
        <v>576</v>
      </c>
      <c r="U162" s="457">
        <v>1</v>
      </c>
      <c r="V162" s="460" t="str">
        <f>RevenueStreams!$E$19</f>
        <v>Per Mo</v>
      </c>
      <c r="W162" s="461">
        <f>U162*RevenueStreams!$D$19</f>
        <v>576</v>
      </c>
      <c r="X162" s="457">
        <v>1</v>
      </c>
      <c r="Y162" s="460" t="str">
        <f>RevenueStreams!$E$19</f>
        <v>Per Mo</v>
      </c>
      <c r="Z162" s="461">
        <f>X162*RevenueStreams!$D$19</f>
        <v>576</v>
      </c>
      <c r="AA162" s="457">
        <v>1</v>
      </c>
      <c r="AB162" s="460" t="str">
        <f>RevenueStreams!$E$19</f>
        <v>Per Mo</v>
      </c>
      <c r="AC162" s="461">
        <f>AA162*RevenueStreams!$D$19</f>
        <v>576</v>
      </c>
      <c r="AD162" s="457">
        <v>1</v>
      </c>
      <c r="AE162" s="460" t="str">
        <f>RevenueStreams!$E$19</f>
        <v>Per Mo</v>
      </c>
      <c r="AF162" s="461">
        <f>AD162*RevenueStreams!$D$19</f>
        <v>576</v>
      </c>
      <c r="AG162" s="457">
        <v>1</v>
      </c>
      <c r="AH162" s="460" t="str">
        <f>RevenueStreams!$E$19</f>
        <v>Per Mo</v>
      </c>
      <c r="AI162" s="461">
        <f>AG162*RevenueStreams!$D$19</f>
        <v>576</v>
      </c>
      <c r="AJ162" s="457">
        <v>1</v>
      </c>
      <c r="AK162" s="460" t="str">
        <f>RevenueStreams!$E$19</f>
        <v>Per Mo</v>
      </c>
      <c r="AL162" s="461">
        <f>AJ162*RevenueStreams!$D$19</f>
        <v>576</v>
      </c>
    </row>
    <row r="163" spans="1:38" x14ac:dyDescent="0.35">
      <c r="A163" s="471">
        <f t="shared" si="9"/>
        <v>0</v>
      </c>
      <c r="B163" s="459" t="s">
        <v>496</v>
      </c>
      <c r="C163" s="457">
        <v>0</v>
      </c>
      <c r="D163" s="460" t="str">
        <f>RevenueStreams!$E$20</f>
        <v>Per  Hr</v>
      </c>
      <c r="E163" s="461">
        <f>C163*RevenueStreams!$D$20</f>
        <v>0</v>
      </c>
      <c r="F163" s="457">
        <v>0</v>
      </c>
      <c r="G163" s="460" t="str">
        <f>RevenueStreams!$E$20</f>
        <v>Per  Hr</v>
      </c>
      <c r="H163" s="461">
        <f>F163*RevenueStreams!$D$20</f>
        <v>0</v>
      </c>
      <c r="I163" s="457">
        <v>0</v>
      </c>
      <c r="J163" s="460" t="str">
        <f>RevenueStreams!$E$20</f>
        <v>Per  Hr</v>
      </c>
      <c r="K163" s="461">
        <f>I163*RevenueStreams!$D$20</f>
        <v>0</v>
      </c>
      <c r="L163" s="457">
        <v>0</v>
      </c>
      <c r="M163" s="460" t="str">
        <f>RevenueStreams!$E$20</f>
        <v>Per  Hr</v>
      </c>
      <c r="N163" s="461">
        <f>L163*RevenueStreams!$D$20</f>
        <v>0</v>
      </c>
      <c r="O163" s="457">
        <v>0</v>
      </c>
      <c r="P163" s="460" t="str">
        <f>RevenueStreams!$E$20</f>
        <v>Per  Hr</v>
      </c>
      <c r="Q163" s="461">
        <f>O163*RevenueStreams!$D$20</f>
        <v>0</v>
      </c>
      <c r="R163" s="457">
        <v>0</v>
      </c>
      <c r="S163" s="460" t="str">
        <f>RevenueStreams!$E$20</f>
        <v>Per  Hr</v>
      </c>
      <c r="T163" s="461">
        <f>R163*RevenueStreams!$D$20</f>
        <v>0</v>
      </c>
      <c r="U163" s="457">
        <v>0</v>
      </c>
      <c r="V163" s="460" t="str">
        <f>RevenueStreams!$E$20</f>
        <v>Per  Hr</v>
      </c>
      <c r="W163" s="461">
        <f>U163*RevenueStreams!$D$20</f>
        <v>0</v>
      </c>
      <c r="X163" s="457">
        <v>0</v>
      </c>
      <c r="Y163" s="460" t="str">
        <f>RevenueStreams!$E$20</f>
        <v>Per  Hr</v>
      </c>
      <c r="Z163" s="461">
        <f>X163*RevenueStreams!$D$20</f>
        <v>0</v>
      </c>
      <c r="AA163" s="457">
        <v>0</v>
      </c>
      <c r="AB163" s="460" t="str">
        <f>RevenueStreams!$E$20</f>
        <v>Per  Hr</v>
      </c>
      <c r="AC163" s="461">
        <f>AA163*RevenueStreams!$D$20</f>
        <v>0</v>
      </c>
      <c r="AD163" s="457">
        <v>0</v>
      </c>
      <c r="AE163" s="460" t="str">
        <f>RevenueStreams!$E$20</f>
        <v>Per  Hr</v>
      </c>
      <c r="AF163" s="461">
        <f>AD163*RevenueStreams!$D$20</f>
        <v>0</v>
      </c>
      <c r="AG163" s="457">
        <v>0</v>
      </c>
      <c r="AH163" s="460" t="str">
        <f>RevenueStreams!$E$20</f>
        <v>Per  Hr</v>
      </c>
      <c r="AI163" s="461">
        <f>AG163*RevenueStreams!$D$20</f>
        <v>0</v>
      </c>
      <c r="AJ163" s="457">
        <v>0</v>
      </c>
      <c r="AK163" s="460" t="str">
        <f>RevenueStreams!$E$20</f>
        <v>Per  Hr</v>
      </c>
      <c r="AL163" s="461">
        <f>AJ163*RevenueStreams!$D$20</f>
        <v>0</v>
      </c>
    </row>
    <row r="164" spans="1:38" x14ac:dyDescent="0.35">
      <c r="A164" s="471">
        <f t="shared" si="9"/>
        <v>0</v>
      </c>
      <c r="B164" s="459" t="s">
        <v>497</v>
      </c>
      <c r="C164" s="457">
        <v>0</v>
      </c>
      <c r="D164" s="460" t="str">
        <f>RevenueStreams!$E$21</f>
        <v>Per  Hr</v>
      </c>
      <c r="E164" s="461">
        <f>C164*RevenueStreams!$D$21</f>
        <v>0</v>
      </c>
      <c r="F164" s="457">
        <v>0</v>
      </c>
      <c r="G164" s="460" t="str">
        <f>RevenueStreams!$E$21</f>
        <v>Per  Hr</v>
      </c>
      <c r="H164" s="461">
        <f>F164*RevenueStreams!$D$21</f>
        <v>0</v>
      </c>
      <c r="I164" s="457">
        <v>0</v>
      </c>
      <c r="J164" s="460" t="str">
        <f>RevenueStreams!$E$21</f>
        <v>Per  Hr</v>
      </c>
      <c r="K164" s="461">
        <f>I164*RevenueStreams!$D$21</f>
        <v>0</v>
      </c>
      <c r="L164" s="457">
        <v>0</v>
      </c>
      <c r="M164" s="460" t="str">
        <f>RevenueStreams!$E$21</f>
        <v>Per  Hr</v>
      </c>
      <c r="N164" s="461">
        <f>L164*RevenueStreams!$D$21</f>
        <v>0</v>
      </c>
      <c r="O164" s="457">
        <v>0</v>
      </c>
      <c r="P164" s="460" t="str">
        <f>RevenueStreams!$E$21</f>
        <v>Per  Hr</v>
      </c>
      <c r="Q164" s="461">
        <f>O164*RevenueStreams!$D$21</f>
        <v>0</v>
      </c>
      <c r="R164" s="457">
        <v>0</v>
      </c>
      <c r="S164" s="460" t="str">
        <f>RevenueStreams!$E$21</f>
        <v>Per  Hr</v>
      </c>
      <c r="T164" s="461">
        <f>R164*RevenueStreams!$D$21</f>
        <v>0</v>
      </c>
      <c r="U164" s="457">
        <v>0</v>
      </c>
      <c r="V164" s="460" t="str">
        <f>RevenueStreams!$E$21</f>
        <v>Per  Hr</v>
      </c>
      <c r="W164" s="461">
        <f>U164*RevenueStreams!$D$21</f>
        <v>0</v>
      </c>
      <c r="X164" s="457">
        <v>0</v>
      </c>
      <c r="Y164" s="460" t="str">
        <f>RevenueStreams!$E$21</f>
        <v>Per  Hr</v>
      </c>
      <c r="Z164" s="461">
        <f>X164*RevenueStreams!$D$21</f>
        <v>0</v>
      </c>
      <c r="AA164" s="457">
        <v>0</v>
      </c>
      <c r="AB164" s="460" t="str">
        <f>RevenueStreams!$E$21</f>
        <v>Per  Hr</v>
      </c>
      <c r="AC164" s="461">
        <f>AA164*RevenueStreams!$D$21</f>
        <v>0</v>
      </c>
      <c r="AD164" s="457">
        <v>0</v>
      </c>
      <c r="AE164" s="460" t="str">
        <f>RevenueStreams!$E$21</f>
        <v>Per  Hr</v>
      </c>
      <c r="AF164" s="461">
        <f>AD164*RevenueStreams!$D$21</f>
        <v>0</v>
      </c>
      <c r="AG164" s="457">
        <v>0</v>
      </c>
      <c r="AH164" s="460" t="str">
        <f>RevenueStreams!$E$21</f>
        <v>Per  Hr</v>
      </c>
      <c r="AI164" s="461">
        <f>AG164*RevenueStreams!$D$21</f>
        <v>0</v>
      </c>
      <c r="AJ164" s="457">
        <v>0</v>
      </c>
      <c r="AK164" s="460" t="str">
        <f>RevenueStreams!$E$21</f>
        <v>Per  Hr</v>
      </c>
      <c r="AL164" s="461">
        <f>AJ164*RevenueStreams!$D$21</f>
        <v>0</v>
      </c>
    </row>
    <row r="165" spans="1:38" x14ac:dyDescent="0.35">
      <c r="A165" s="471">
        <f t="shared" si="9"/>
        <v>0</v>
      </c>
      <c r="B165" s="459" t="s">
        <v>498</v>
      </c>
      <c r="C165" s="457">
        <v>0</v>
      </c>
      <c r="D165" s="460" t="str">
        <f>RevenueStreams!$E$22</f>
        <v>Per  Hr</v>
      </c>
      <c r="E165" s="461">
        <f>C165*RevenueStreams!$D$22</f>
        <v>0</v>
      </c>
      <c r="F165" s="457">
        <v>0</v>
      </c>
      <c r="G165" s="460" t="str">
        <f>RevenueStreams!$E$22</f>
        <v>Per  Hr</v>
      </c>
      <c r="H165" s="461">
        <f>F165*RevenueStreams!$D$22</f>
        <v>0</v>
      </c>
      <c r="I165" s="457">
        <v>0</v>
      </c>
      <c r="J165" s="460" t="str">
        <f>RevenueStreams!$E$22</f>
        <v>Per  Hr</v>
      </c>
      <c r="K165" s="461">
        <f>I165*RevenueStreams!$D$22</f>
        <v>0</v>
      </c>
      <c r="L165" s="457">
        <v>0</v>
      </c>
      <c r="M165" s="460" t="str">
        <f>RevenueStreams!$E$22</f>
        <v>Per  Hr</v>
      </c>
      <c r="N165" s="461">
        <f>L165*RevenueStreams!$D$22</f>
        <v>0</v>
      </c>
      <c r="O165" s="457">
        <v>0</v>
      </c>
      <c r="P165" s="460" t="str">
        <f>RevenueStreams!$E$22</f>
        <v>Per  Hr</v>
      </c>
      <c r="Q165" s="461">
        <f>O165*RevenueStreams!$D$22</f>
        <v>0</v>
      </c>
      <c r="R165" s="457">
        <v>0</v>
      </c>
      <c r="S165" s="460" t="str">
        <f>RevenueStreams!$E$22</f>
        <v>Per  Hr</v>
      </c>
      <c r="T165" s="461">
        <f>R165*RevenueStreams!$D$22</f>
        <v>0</v>
      </c>
      <c r="U165" s="457">
        <v>0</v>
      </c>
      <c r="V165" s="460" t="str">
        <f>RevenueStreams!$E$22</f>
        <v>Per  Hr</v>
      </c>
      <c r="W165" s="461">
        <f>U165*RevenueStreams!$D$22</f>
        <v>0</v>
      </c>
      <c r="X165" s="457">
        <v>0</v>
      </c>
      <c r="Y165" s="460" t="str">
        <f>RevenueStreams!$E$22</f>
        <v>Per  Hr</v>
      </c>
      <c r="Z165" s="461">
        <f>X165*RevenueStreams!$D$22</f>
        <v>0</v>
      </c>
      <c r="AA165" s="457">
        <v>0</v>
      </c>
      <c r="AB165" s="460" t="str">
        <f>RevenueStreams!$E$22</f>
        <v>Per  Hr</v>
      </c>
      <c r="AC165" s="461">
        <f>AA165*RevenueStreams!$D$22</f>
        <v>0</v>
      </c>
      <c r="AD165" s="457">
        <v>0</v>
      </c>
      <c r="AE165" s="460" t="str">
        <f>RevenueStreams!$E$22</f>
        <v>Per  Hr</v>
      </c>
      <c r="AF165" s="461">
        <f>AD165*RevenueStreams!$D$22</f>
        <v>0</v>
      </c>
      <c r="AG165" s="457">
        <v>0</v>
      </c>
      <c r="AH165" s="460" t="str">
        <f>RevenueStreams!$E$22</f>
        <v>Per  Hr</v>
      </c>
      <c r="AI165" s="461">
        <f>AG165*RevenueStreams!$D$22</f>
        <v>0</v>
      </c>
      <c r="AJ165" s="457">
        <v>0</v>
      </c>
      <c r="AK165" s="460" t="str">
        <f>RevenueStreams!$E$22</f>
        <v>Per  Hr</v>
      </c>
      <c r="AL165" s="461">
        <f>AJ165*RevenueStreams!$D$22</f>
        <v>0</v>
      </c>
    </row>
    <row r="166" spans="1:38" x14ac:dyDescent="0.35">
      <c r="A166" s="471">
        <f t="shared" si="9"/>
        <v>300</v>
      </c>
      <c r="B166" s="459" t="s">
        <v>272</v>
      </c>
      <c r="C166" s="457">
        <v>1</v>
      </c>
      <c r="D166" s="460" t="str">
        <f>RevenueStreams!$E$23</f>
        <v>Per  Pallet</v>
      </c>
      <c r="E166" s="461">
        <f>C166*RevenueStreams!$D$23</f>
        <v>25</v>
      </c>
      <c r="F166" s="457">
        <v>1</v>
      </c>
      <c r="G166" s="460" t="str">
        <f>RevenueStreams!$E$23</f>
        <v>Per  Pallet</v>
      </c>
      <c r="H166" s="461">
        <f>F166*RevenueStreams!$D$23</f>
        <v>25</v>
      </c>
      <c r="I166" s="457">
        <v>1</v>
      </c>
      <c r="J166" s="460" t="str">
        <f>RevenueStreams!$E$23</f>
        <v>Per  Pallet</v>
      </c>
      <c r="K166" s="461">
        <f>I166*RevenueStreams!$D$23</f>
        <v>25</v>
      </c>
      <c r="L166" s="457">
        <v>1</v>
      </c>
      <c r="M166" s="460" t="str">
        <f>RevenueStreams!$E$23</f>
        <v>Per  Pallet</v>
      </c>
      <c r="N166" s="461">
        <f>L166*RevenueStreams!$D$23</f>
        <v>25</v>
      </c>
      <c r="O166" s="457">
        <v>1</v>
      </c>
      <c r="P166" s="460" t="str">
        <f>RevenueStreams!$E$23</f>
        <v>Per  Pallet</v>
      </c>
      <c r="Q166" s="461">
        <f>O166*RevenueStreams!$D$23</f>
        <v>25</v>
      </c>
      <c r="R166" s="457">
        <v>1</v>
      </c>
      <c r="S166" s="460" t="str">
        <f>RevenueStreams!$E$23</f>
        <v>Per  Pallet</v>
      </c>
      <c r="T166" s="461">
        <f>R166*RevenueStreams!$D$23</f>
        <v>25</v>
      </c>
      <c r="U166" s="457">
        <v>1</v>
      </c>
      <c r="V166" s="460" t="str">
        <f>RevenueStreams!$E$23</f>
        <v>Per  Pallet</v>
      </c>
      <c r="W166" s="461">
        <f>U166*RevenueStreams!$D$23</f>
        <v>25</v>
      </c>
      <c r="X166" s="457">
        <v>1</v>
      </c>
      <c r="Y166" s="460" t="str">
        <f>RevenueStreams!$E$23</f>
        <v>Per  Pallet</v>
      </c>
      <c r="Z166" s="461">
        <f>X166*RevenueStreams!$D$23</f>
        <v>25</v>
      </c>
      <c r="AA166" s="457">
        <v>1</v>
      </c>
      <c r="AB166" s="460" t="str">
        <f>RevenueStreams!$E$23</f>
        <v>Per  Pallet</v>
      </c>
      <c r="AC166" s="461">
        <f>AA166*RevenueStreams!$D$23</f>
        <v>25</v>
      </c>
      <c r="AD166" s="457">
        <v>1</v>
      </c>
      <c r="AE166" s="460" t="str">
        <f>RevenueStreams!$E$23</f>
        <v>Per  Pallet</v>
      </c>
      <c r="AF166" s="461">
        <f>AD166*RevenueStreams!$D$23</f>
        <v>25</v>
      </c>
      <c r="AG166" s="457">
        <v>1</v>
      </c>
      <c r="AH166" s="460" t="str">
        <f>RevenueStreams!$E$23</f>
        <v>Per  Pallet</v>
      </c>
      <c r="AI166" s="461">
        <f>AG166*RevenueStreams!$D$23</f>
        <v>25</v>
      </c>
      <c r="AJ166" s="457">
        <v>1</v>
      </c>
      <c r="AK166" s="460" t="str">
        <f>RevenueStreams!$E$23</f>
        <v>Per  Pallet</v>
      </c>
      <c r="AL166" s="461">
        <f>AJ166*RevenueStreams!$D$23</f>
        <v>25</v>
      </c>
    </row>
    <row r="167" spans="1:38" x14ac:dyDescent="0.35">
      <c r="A167" s="471">
        <f t="shared" si="9"/>
        <v>0</v>
      </c>
      <c r="B167" s="459" t="s">
        <v>490</v>
      </c>
      <c r="C167" s="457">
        <v>0</v>
      </c>
      <c r="D167" s="460" t="str">
        <f>RevenueStreams!$E$24</f>
        <v>Per  Pallet</v>
      </c>
      <c r="E167" s="461">
        <f>C167*RevenueStreams!$D$24</f>
        <v>0</v>
      </c>
      <c r="F167" s="457">
        <v>0</v>
      </c>
      <c r="G167" s="460" t="str">
        <f>RevenueStreams!$E$24</f>
        <v>Per  Pallet</v>
      </c>
      <c r="H167" s="461">
        <f>F167*RevenueStreams!$D$24</f>
        <v>0</v>
      </c>
      <c r="I167" s="457">
        <v>0</v>
      </c>
      <c r="J167" s="460" t="str">
        <f>RevenueStreams!$E$24</f>
        <v>Per  Pallet</v>
      </c>
      <c r="K167" s="461">
        <f>I167*RevenueStreams!$D$24</f>
        <v>0</v>
      </c>
      <c r="L167" s="457">
        <v>0</v>
      </c>
      <c r="M167" s="460" t="str">
        <f>RevenueStreams!$E$24</f>
        <v>Per  Pallet</v>
      </c>
      <c r="N167" s="461">
        <f>L167*RevenueStreams!$D$24</f>
        <v>0</v>
      </c>
      <c r="O167" s="457">
        <v>0</v>
      </c>
      <c r="P167" s="460" t="str">
        <f>RevenueStreams!$E$24</f>
        <v>Per  Pallet</v>
      </c>
      <c r="Q167" s="461">
        <f>O167*RevenueStreams!$D$24</f>
        <v>0</v>
      </c>
      <c r="R167" s="457">
        <v>0</v>
      </c>
      <c r="S167" s="460" t="str">
        <f>RevenueStreams!$E$24</f>
        <v>Per  Pallet</v>
      </c>
      <c r="T167" s="461">
        <f>R167*RevenueStreams!$D$24</f>
        <v>0</v>
      </c>
      <c r="U167" s="457">
        <v>0</v>
      </c>
      <c r="V167" s="460" t="str">
        <f>RevenueStreams!$E$24</f>
        <v>Per  Pallet</v>
      </c>
      <c r="W167" s="461">
        <f>U167*RevenueStreams!$D$24</f>
        <v>0</v>
      </c>
      <c r="X167" s="457">
        <v>0</v>
      </c>
      <c r="Y167" s="460" t="str">
        <f>RevenueStreams!$E$24</f>
        <v>Per  Pallet</v>
      </c>
      <c r="Z167" s="461">
        <f>X167*RevenueStreams!$D$24</f>
        <v>0</v>
      </c>
      <c r="AA167" s="457">
        <v>0</v>
      </c>
      <c r="AB167" s="460" t="str">
        <f>RevenueStreams!$E$24</f>
        <v>Per  Pallet</v>
      </c>
      <c r="AC167" s="461">
        <f>AA167*RevenueStreams!$D$24</f>
        <v>0</v>
      </c>
      <c r="AD167" s="457">
        <v>0</v>
      </c>
      <c r="AE167" s="460" t="str">
        <f>RevenueStreams!$E$24</f>
        <v>Per  Pallet</v>
      </c>
      <c r="AF167" s="461">
        <f>AD167*RevenueStreams!$D$24</f>
        <v>0</v>
      </c>
      <c r="AG167" s="457">
        <v>0</v>
      </c>
      <c r="AH167" s="460" t="str">
        <f>RevenueStreams!$E$24</f>
        <v>Per  Pallet</v>
      </c>
      <c r="AI167" s="461">
        <f>AG167*RevenueStreams!$D$24</f>
        <v>0</v>
      </c>
      <c r="AJ167" s="457">
        <v>0</v>
      </c>
      <c r="AK167" s="460" t="str">
        <f>RevenueStreams!$E$24</f>
        <v>Per  Pallet</v>
      </c>
      <c r="AL167" s="461">
        <f>AJ167*RevenueStreams!$D$24</f>
        <v>0</v>
      </c>
    </row>
    <row r="168" spans="1:38" x14ac:dyDescent="0.35">
      <c r="A168" s="471">
        <f t="shared" si="9"/>
        <v>540</v>
      </c>
      <c r="B168" s="459" t="s">
        <v>491</v>
      </c>
      <c r="C168" s="457">
        <v>1</v>
      </c>
      <c r="D168" s="460" t="str">
        <f>RevenueStreams!$E$25</f>
        <v>Per  Pallet</v>
      </c>
      <c r="E168" s="461">
        <f>C168*RevenueStreams!$D$25</f>
        <v>45</v>
      </c>
      <c r="F168" s="457">
        <v>1</v>
      </c>
      <c r="G168" s="460" t="str">
        <f>RevenueStreams!$E$25</f>
        <v>Per  Pallet</v>
      </c>
      <c r="H168" s="461">
        <f>F168*RevenueStreams!$D$25</f>
        <v>45</v>
      </c>
      <c r="I168" s="457">
        <v>1</v>
      </c>
      <c r="J168" s="460" t="str">
        <f>RevenueStreams!$E$25</f>
        <v>Per  Pallet</v>
      </c>
      <c r="K168" s="461">
        <f>I168*RevenueStreams!$D$25</f>
        <v>45</v>
      </c>
      <c r="L168" s="457">
        <v>1</v>
      </c>
      <c r="M168" s="460" t="str">
        <f>RevenueStreams!$E$25</f>
        <v>Per  Pallet</v>
      </c>
      <c r="N168" s="461">
        <f>L168*RevenueStreams!$D$25</f>
        <v>45</v>
      </c>
      <c r="O168" s="457">
        <v>1</v>
      </c>
      <c r="P168" s="460" t="str">
        <f>RevenueStreams!$E$25</f>
        <v>Per  Pallet</v>
      </c>
      <c r="Q168" s="461">
        <f>O168*RevenueStreams!$D$25</f>
        <v>45</v>
      </c>
      <c r="R168" s="457">
        <v>1</v>
      </c>
      <c r="S168" s="460" t="str">
        <f>RevenueStreams!$E$25</f>
        <v>Per  Pallet</v>
      </c>
      <c r="T168" s="461">
        <f>R168*RevenueStreams!$D$25</f>
        <v>45</v>
      </c>
      <c r="U168" s="457">
        <v>1</v>
      </c>
      <c r="V168" s="460" t="str">
        <f>RevenueStreams!$E$25</f>
        <v>Per  Pallet</v>
      </c>
      <c r="W168" s="461">
        <f>U168*RevenueStreams!$D$25</f>
        <v>45</v>
      </c>
      <c r="X168" s="457">
        <v>1</v>
      </c>
      <c r="Y168" s="460" t="str">
        <f>RevenueStreams!$E$25</f>
        <v>Per  Pallet</v>
      </c>
      <c r="Z168" s="461">
        <f>X168*RevenueStreams!$D$25</f>
        <v>45</v>
      </c>
      <c r="AA168" s="457">
        <v>1</v>
      </c>
      <c r="AB168" s="460" t="str">
        <f>RevenueStreams!$E$25</f>
        <v>Per  Pallet</v>
      </c>
      <c r="AC168" s="461">
        <f>AA168*RevenueStreams!$D$25</f>
        <v>45</v>
      </c>
      <c r="AD168" s="457">
        <v>1</v>
      </c>
      <c r="AE168" s="460" t="str">
        <f>RevenueStreams!$E$25</f>
        <v>Per  Pallet</v>
      </c>
      <c r="AF168" s="461">
        <f>AD168*RevenueStreams!$D$25</f>
        <v>45</v>
      </c>
      <c r="AG168" s="457">
        <v>1</v>
      </c>
      <c r="AH168" s="460" t="str">
        <f>RevenueStreams!$E$25</f>
        <v>Per  Pallet</v>
      </c>
      <c r="AI168" s="461">
        <f>AG168*RevenueStreams!$D$25</f>
        <v>45</v>
      </c>
      <c r="AJ168" s="457">
        <v>1</v>
      </c>
      <c r="AK168" s="460" t="str">
        <f>RevenueStreams!$E$25</f>
        <v>Per  Pallet</v>
      </c>
      <c r="AL168" s="461">
        <f>AJ168*RevenueStreams!$D$25</f>
        <v>45</v>
      </c>
    </row>
    <row r="169" spans="1:38" x14ac:dyDescent="0.35">
      <c r="A169" s="471">
        <f t="shared" si="9"/>
        <v>6240</v>
      </c>
      <c r="B169" s="459" t="s">
        <v>519</v>
      </c>
      <c r="C169" s="457">
        <f>3*8*2</f>
        <v>48</v>
      </c>
      <c r="D169" s="460" t="str">
        <f>RevenueStreams!$E$26</f>
        <v>Per Hr</v>
      </c>
      <c r="E169" s="461">
        <f>C169*RevenueStreams!$D$26</f>
        <v>480</v>
      </c>
      <c r="F169" s="457">
        <f>3*8*2</f>
        <v>48</v>
      </c>
      <c r="G169" s="460" t="str">
        <f>RevenueStreams!$E$26</f>
        <v>Per Hr</v>
      </c>
      <c r="H169" s="461">
        <f>F169*RevenueStreams!$D$26</f>
        <v>480</v>
      </c>
      <c r="I169" s="457">
        <f>3*8*2</f>
        <v>48</v>
      </c>
      <c r="J169" s="460" t="str">
        <f>RevenueStreams!$E$26</f>
        <v>Per Hr</v>
      </c>
      <c r="K169" s="461">
        <f>I169*RevenueStreams!$D$26</f>
        <v>480</v>
      </c>
      <c r="L169" s="457">
        <f>3*8*4</f>
        <v>96</v>
      </c>
      <c r="M169" s="460" t="str">
        <f>RevenueStreams!$E$26</f>
        <v>Per Hr</v>
      </c>
      <c r="N169" s="461">
        <f>L169*RevenueStreams!$D$26</f>
        <v>960</v>
      </c>
      <c r="O169" s="457">
        <f>3*8*4</f>
        <v>96</v>
      </c>
      <c r="P169" s="460" t="str">
        <f>RevenueStreams!$E$26</f>
        <v>Per Hr</v>
      </c>
      <c r="Q169" s="461">
        <f>O169*RevenueStreams!$D$26</f>
        <v>960</v>
      </c>
      <c r="R169" s="457">
        <f>3*8*4</f>
        <v>96</v>
      </c>
      <c r="S169" s="460" t="str">
        <f>RevenueStreams!$E$26</f>
        <v>Per Hr</v>
      </c>
      <c r="T169" s="461">
        <f>R169*RevenueStreams!$D$26</f>
        <v>960</v>
      </c>
      <c r="U169" s="457">
        <f>3*8*3</f>
        <v>72</v>
      </c>
      <c r="V169" s="460" t="str">
        <f>RevenueStreams!$E$26</f>
        <v>Per Hr</v>
      </c>
      <c r="W169" s="461">
        <f>U169*RevenueStreams!$D$26</f>
        <v>720</v>
      </c>
      <c r="X169" s="457">
        <v>24</v>
      </c>
      <c r="Y169" s="460" t="str">
        <f>RevenueStreams!$E$26</f>
        <v>Per Hr</v>
      </c>
      <c r="Z169" s="461">
        <f>X169*RevenueStreams!$D$26</f>
        <v>240</v>
      </c>
      <c r="AA169" s="457">
        <v>24</v>
      </c>
      <c r="AB169" s="460" t="str">
        <f>RevenueStreams!$E$26</f>
        <v>Per Hr</v>
      </c>
      <c r="AC169" s="461">
        <f>AA169*RevenueStreams!$D$26</f>
        <v>240</v>
      </c>
      <c r="AD169" s="457">
        <v>24</v>
      </c>
      <c r="AE169" s="460" t="str">
        <f>RevenueStreams!$E$26</f>
        <v>Per Hr</v>
      </c>
      <c r="AF169" s="461">
        <f>AD169*RevenueStreams!$D$26</f>
        <v>240</v>
      </c>
      <c r="AG169" s="457">
        <v>24</v>
      </c>
      <c r="AH169" s="460" t="str">
        <f>RevenueStreams!$E$26</f>
        <v>Per Hr</v>
      </c>
      <c r="AI169" s="461">
        <f>AG169*RevenueStreams!$D$26</f>
        <v>240</v>
      </c>
      <c r="AJ169" s="457">
        <v>24</v>
      </c>
      <c r="AK169" s="460" t="str">
        <f>RevenueStreams!$E$26</f>
        <v>Per Hr</v>
      </c>
      <c r="AL169" s="461">
        <f>AJ169*RevenueStreams!$D$26</f>
        <v>240</v>
      </c>
    </row>
    <row r="170" spans="1:38" x14ac:dyDescent="0.35">
      <c r="A170" s="471">
        <f t="shared" si="9"/>
        <v>4080</v>
      </c>
      <c r="B170" s="459" t="s">
        <v>492</v>
      </c>
      <c r="C170" s="457">
        <f>3*8*2</f>
        <v>48</v>
      </c>
      <c r="D170" s="460" t="str">
        <f>RevenueStreams!$E$27</f>
        <v>Per Hr</v>
      </c>
      <c r="E170" s="461">
        <f>C170*RevenueStreams!$D$27</f>
        <v>480</v>
      </c>
      <c r="F170" s="457">
        <f>3*8*2</f>
        <v>48</v>
      </c>
      <c r="G170" s="460" t="str">
        <f>RevenueStreams!$E$27</f>
        <v>Per Hr</v>
      </c>
      <c r="H170" s="461">
        <f>F170*RevenueStreams!$D$27</f>
        <v>480</v>
      </c>
      <c r="I170" s="457">
        <f>3*8*2</f>
        <v>48</v>
      </c>
      <c r="J170" s="460" t="str">
        <f>RevenueStreams!$E$27</f>
        <v>Per Hr</v>
      </c>
      <c r="K170" s="461">
        <f>I170*RevenueStreams!$D$27</f>
        <v>480</v>
      </c>
      <c r="L170" s="457">
        <f>3*8*2</f>
        <v>48</v>
      </c>
      <c r="M170" s="460" t="str">
        <f>RevenueStreams!$E$27</f>
        <v>Per Hr</v>
      </c>
      <c r="N170" s="461">
        <f>L170*RevenueStreams!$D$27</f>
        <v>480</v>
      </c>
      <c r="O170" s="457">
        <f>3*8*2</f>
        <v>48</v>
      </c>
      <c r="P170" s="460" t="str">
        <f>RevenueStreams!$E$27</f>
        <v>Per Hr</v>
      </c>
      <c r="Q170" s="461">
        <f>O170*RevenueStreams!$D$27</f>
        <v>480</v>
      </c>
      <c r="R170" s="457">
        <v>24</v>
      </c>
      <c r="S170" s="460" t="str">
        <f>RevenueStreams!$E$27</f>
        <v>Per Hr</v>
      </c>
      <c r="T170" s="461">
        <f>R170*RevenueStreams!$D$27</f>
        <v>240</v>
      </c>
      <c r="U170" s="457">
        <v>24</v>
      </c>
      <c r="V170" s="460" t="str">
        <f>RevenueStreams!$E$27</f>
        <v>Per Hr</v>
      </c>
      <c r="W170" s="461">
        <f>U170*RevenueStreams!$D$27</f>
        <v>240</v>
      </c>
      <c r="X170" s="457">
        <v>24</v>
      </c>
      <c r="Y170" s="460" t="str">
        <f>RevenueStreams!$E$27</f>
        <v>Per Hr</v>
      </c>
      <c r="Z170" s="461">
        <f>X170*RevenueStreams!$D$27</f>
        <v>240</v>
      </c>
      <c r="AA170" s="457">
        <v>24</v>
      </c>
      <c r="AB170" s="460" t="str">
        <f>RevenueStreams!$E$27</f>
        <v>Per Hr</v>
      </c>
      <c r="AC170" s="461">
        <f>AA170*RevenueStreams!$D$27</f>
        <v>240</v>
      </c>
      <c r="AD170" s="457">
        <v>24</v>
      </c>
      <c r="AE170" s="460" t="str">
        <f>RevenueStreams!$E$27</f>
        <v>Per Hr</v>
      </c>
      <c r="AF170" s="461">
        <f>AD170*RevenueStreams!$D$27</f>
        <v>240</v>
      </c>
      <c r="AG170" s="457">
        <v>24</v>
      </c>
      <c r="AH170" s="460" t="str">
        <f>RevenueStreams!$E$27</f>
        <v>Per Hr</v>
      </c>
      <c r="AI170" s="461">
        <f>AG170*RevenueStreams!$D$27</f>
        <v>240</v>
      </c>
      <c r="AJ170" s="457">
        <v>24</v>
      </c>
      <c r="AK170" s="460" t="str">
        <f>RevenueStreams!$E$27</f>
        <v>Per Hr</v>
      </c>
      <c r="AL170" s="461">
        <f>AJ170*RevenueStreams!$D$27</f>
        <v>240</v>
      </c>
    </row>
    <row r="171" spans="1:38" x14ac:dyDescent="0.35">
      <c r="A171" s="471">
        <f t="shared" si="9"/>
        <v>0</v>
      </c>
      <c r="B171" s="459" t="s">
        <v>502</v>
      </c>
      <c r="C171" s="457">
        <v>0</v>
      </c>
      <c r="D171" s="460" t="str">
        <f>RevenueStreams!$E$29</f>
        <v>Per Hr</v>
      </c>
      <c r="E171" s="461">
        <f>C171*RevenueStreams!$D$29</f>
        <v>0</v>
      </c>
      <c r="F171" s="457">
        <v>0</v>
      </c>
      <c r="G171" s="460" t="str">
        <f>RevenueStreams!$E$29</f>
        <v>Per Hr</v>
      </c>
      <c r="H171" s="461">
        <f>F171*RevenueStreams!$D$29</f>
        <v>0</v>
      </c>
      <c r="I171" s="457">
        <v>0</v>
      </c>
      <c r="J171" s="460" t="str">
        <f>RevenueStreams!$E$29</f>
        <v>Per Hr</v>
      </c>
      <c r="K171" s="461">
        <f>I171*RevenueStreams!$D$29</f>
        <v>0</v>
      </c>
      <c r="L171" s="457">
        <v>0</v>
      </c>
      <c r="M171" s="460" t="str">
        <f>RevenueStreams!$E$29</f>
        <v>Per Hr</v>
      </c>
      <c r="N171" s="461">
        <f>L171*RevenueStreams!$D$29</f>
        <v>0</v>
      </c>
      <c r="O171" s="457">
        <v>0</v>
      </c>
      <c r="P171" s="460" t="str">
        <f>RevenueStreams!$E$29</f>
        <v>Per Hr</v>
      </c>
      <c r="Q171" s="461">
        <f>O171*RevenueStreams!$D$29</f>
        <v>0</v>
      </c>
      <c r="R171" s="457">
        <v>0</v>
      </c>
      <c r="S171" s="460" t="str">
        <f>RevenueStreams!$E$29</f>
        <v>Per Hr</v>
      </c>
      <c r="T171" s="461">
        <f>R171*RevenueStreams!$D$29</f>
        <v>0</v>
      </c>
      <c r="U171" s="457">
        <v>0</v>
      </c>
      <c r="V171" s="460" t="str">
        <f>RevenueStreams!$E$29</f>
        <v>Per Hr</v>
      </c>
      <c r="W171" s="461">
        <f>U171*RevenueStreams!$D$29</f>
        <v>0</v>
      </c>
      <c r="X171" s="457">
        <v>0</v>
      </c>
      <c r="Y171" s="460" t="str">
        <f>RevenueStreams!$E$29</f>
        <v>Per Hr</v>
      </c>
      <c r="Z171" s="461">
        <f>X171*RevenueStreams!$D$29</f>
        <v>0</v>
      </c>
      <c r="AA171" s="457">
        <v>0</v>
      </c>
      <c r="AB171" s="460" t="str">
        <f>RevenueStreams!$E$29</f>
        <v>Per Hr</v>
      </c>
      <c r="AC171" s="461">
        <f>AA171*RevenueStreams!$D$29</f>
        <v>0</v>
      </c>
      <c r="AD171" s="457">
        <v>0</v>
      </c>
      <c r="AE171" s="460" t="str">
        <f>RevenueStreams!$E$29</f>
        <v>Per Hr</v>
      </c>
      <c r="AF171" s="461">
        <f>AD171*RevenueStreams!$D$29</f>
        <v>0</v>
      </c>
      <c r="AG171" s="457">
        <v>0</v>
      </c>
      <c r="AH171" s="460" t="str">
        <f>RevenueStreams!$E$29</f>
        <v>Per Hr</v>
      </c>
      <c r="AI171" s="461">
        <f>AG171*RevenueStreams!$D$29</f>
        <v>0</v>
      </c>
      <c r="AJ171" s="457">
        <v>0</v>
      </c>
      <c r="AK171" s="460" t="str">
        <f>RevenueStreams!$E$29</f>
        <v>Per Hr</v>
      </c>
      <c r="AL171" s="461">
        <f>AJ171*RevenueStreams!$D$29</f>
        <v>0</v>
      </c>
    </row>
    <row r="172" spans="1:38" x14ac:dyDescent="0.35">
      <c r="A172" s="471">
        <f t="shared" si="9"/>
        <v>0</v>
      </c>
      <c r="B172" s="459" t="s">
        <v>503</v>
      </c>
      <c r="C172" s="457">
        <v>0</v>
      </c>
      <c r="D172" s="460" t="str">
        <f>RevenueStreams!$E$30</f>
        <v>Per Hr</v>
      </c>
      <c r="E172" s="461">
        <f>C172*RevenueStreams!$D$30</f>
        <v>0</v>
      </c>
      <c r="F172" s="457">
        <v>0</v>
      </c>
      <c r="G172" s="460" t="str">
        <f>RevenueStreams!$E$30</f>
        <v>Per Hr</v>
      </c>
      <c r="H172" s="461">
        <f>F172*RevenueStreams!$D$30</f>
        <v>0</v>
      </c>
      <c r="I172" s="457">
        <v>0</v>
      </c>
      <c r="J172" s="460" t="str">
        <f>RevenueStreams!$E$30</f>
        <v>Per Hr</v>
      </c>
      <c r="K172" s="461">
        <f>I172*RevenueStreams!$D$30</f>
        <v>0</v>
      </c>
      <c r="L172" s="457">
        <v>0</v>
      </c>
      <c r="M172" s="460" t="str">
        <f>RevenueStreams!$E$30</f>
        <v>Per Hr</v>
      </c>
      <c r="N172" s="461">
        <f>L172*RevenueStreams!$D$30</f>
        <v>0</v>
      </c>
      <c r="O172" s="457">
        <v>0</v>
      </c>
      <c r="P172" s="460" t="str">
        <f>RevenueStreams!$E$30</f>
        <v>Per Hr</v>
      </c>
      <c r="Q172" s="461">
        <f>O172*RevenueStreams!$D$30</f>
        <v>0</v>
      </c>
      <c r="R172" s="457">
        <v>0</v>
      </c>
      <c r="S172" s="460" t="str">
        <f>RevenueStreams!$E$30</f>
        <v>Per Hr</v>
      </c>
      <c r="T172" s="461">
        <f>R172*RevenueStreams!$D$30</f>
        <v>0</v>
      </c>
      <c r="U172" s="457">
        <v>0</v>
      </c>
      <c r="V172" s="460" t="str">
        <f>RevenueStreams!$E$30</f>
        <v>Per Hr</v>
      </c>
      <c r="W172" s="461">
        <f>U172*RevenueStreams!$D$30</f>
        <v>0</v>
      </c>
      <c r="X172" s="457">
        <v>0</v>
      </c>
      <c r="Y172" s="460" t="str">
        <f>RevenueStreams!$E$30</f>
        <v>Per Hr</v>
      </c>
      <c r="Z172" s="461">
        <f>X172*RevenueStreams!$D$30</f>
        <v>0</v>
      </c>
      <c r="AA172" s="457">
        <v>0</v>
      </c>
      <c r="AB172" s="460" t="str">
        <f>RevenueStreams!$E$30</f>
        <v>Per Hr</v>
      </c>
      <c r="AC172" s="461">
        <f>AA172*RevenueStreams!$D$30</f>
        <v>0</v>
      </c>
      <c r="AD172" s="457">
        <v>0</v>
      </c>
      <c r="AE172" s="460" t="str">
        <f>RevenueStreams!$E$30</f>
        <v>Per Hr</v>
      </c>
      <c r="AF172" s="461">
        <f>AD172*RevenueStreams!$D$30</f>
        <v>0</v>
      </c>
      <c r="AG172" s="457">
        <v>0</v>
      </c>
      <c r="AH172" s="460" t="str">
        <f>RevenueStreams!$E$30</f>
        <v>Per Hr</v>
      </c>
      <c r="AI172" s="461">
        <f>AG172*RevenueStreams!$D$30</f>
        <v>0</v>
      </c>
      <c r="AJ172" s="457">
        <v>0</v>
      </c>
      <c r="AK172" s="460" t="str">
        <f>RevenueStreams!$E$30</f>
        <v>Per Hr</v>
      </c>
      <c r="AL172" s="461">
        <f>AJ172*RevenueStreams!$D$30</f>
        <v>0</v>
      </c>
    </row>
    <row r="173" spans="1:38" x14ac:dyDescent="0.35">
      <c r="A173" s="471">
        <f t="shared" si="9"/>
        <v>1261.154</v>
      </c>
      <c r="B173" s="459" t="s">
        <v>507</v>
      </c>
      <c r="C173" s="457">
        <v>0</v>
      </c>
      <c r="D173" s="460" t="str">
        <f>RevenueStreams!$E$31</f>
        <v>Per Hr</v>
      </c>
      <c r="E173" s="461">
        <f>C173*RevenueStreams!$D$31</f>
        <v>0</v>
      </c>
      <c r="F173" s="457">
        <v>0</v>
      </c>
      <c r="G173" s="460" t="str">
        <f>RevenueStreams!$E$31</f>
        <v>Per Hr</v>
      </c>
      <c r="H173" s="461">
        <f>F173*RevenueStreams!$D$31</f>
        <v>0</v>
      </c>
      <c r="I173" s="457">
        <v>0</v>
      </c>
      <c r="J173" s="460" t="str">
        <f>RevenueStreams!$E$31</f>
        <v>Per Hr</v>
      </c>
      <c r="K173" s="461">
        <f>I173*RevenueStreams!$D$31</f>
        <v>0</v>
      </c>
      <c r="L173" s="457">
        <v>0</v>
      </c>
      <c r="M173" s="460" t="str">
        <f>RevenueStreams!$E$31</f>
        <v>Per Hr</v>
      </c>
      <c r="N173" s="461">
        <f>L173*RevenueStreams!$D$31</f>
        <v>0</v>
      </c>
      <c r="O173" s="457">
        <v>0</v>
      </c>
      <c r="P173" s="460" t="str">
        <f>RevenueStreams!$E$31</f>
        <v>Per Hr</v>
      </c>
      <c r="Q173" s="461">
        <f>O173*RevenueStreams!$D$31</f>
        <v>0</v>
      </c>
      <c r="R173" s="457">
        <f>8*1*1</f>
        <v>8</v>
      </c>
      <c r="S173" s="460" t="str">
        <f>RevenueStreams!$E$31</f>
        <v>Per Hr</v>
      </c>
      <c r="T173" s="461">
        <f>R173*RevenueStreams!$D$31</f>
        <v>630.577</v>
      </c>
      <c r="U173" s="457">
        <f>8*1*1</f>
        <v>8</v>
      </c>
      <c r="V173" s="460" t="str">
        <f>RevenueStreams!$E$31</f>
        <v>Per Hr</v>
      </c>
      <c r="W173" s="461">
        <f>U173*RevenueStreams!$D$31</f>
        <v>630.577</v>
      </c>
      <c r="X173" s="457">
        <v>0</v>
      </c>
      <c r="Y173" s="460" t="str">
        <f>RevenueStreams!$E$31</f>
        <v>Per Hr</v>
      </c>
      <c r="Z173" s="461">
        <f>X173*RevenueStreams!$D$31</f>
        <v>0</v>
      </c>
      <c r="AA173" s="457">
        <v>0</v>
      </c>
      <c r="AB173" s="460" t="str">
        <f>RevenueStreams!$E$31</f>
        <v>Per Hr</v>
      </c>
      <c r="AC173" s="461">
        <f>AA173*RevenueStreams!$D$31</f>
        <v>0</v>
      </c>
      <c r="AD173" s="457">
        <v>0</v>
      </c>
      <c r="AE173" s="460" t="str">
        <f>RevenueStreams!$E$31</f>
        <v>Per Hr</v>
      </c>
      <c r="AF173" s="461">
        <f>AD173*RevenueStreams!$D$31</f>
        <v>0</v>
      </c>
      <c r="AG173" s="457">
        <v>0</v>
      </c>
      <c r="AH173" s="460" t="str">
        <f>RevenueStreams!$E$31</f>
        <v>Per Hr</v>
      </c>
      <c r="AI173" s="461">
        <f>AG173*RevenueStreams!$D$31</f>
        <v>0</v>
      </c>
      <c r="AJ173" s="457">
        <v>0</v>
      </c>
      <c r="AK173" s="460" t="str">
        <f>RevenueStreams!$E$31</f>
        <v>Per Hr</v>
      </c>
      <c r="AL173" s="461">
        <f>AJ173*RevenueStreams!$D$31</f>
        <v>0</v>
      </c>
    </row>
    <row r="174" spans="1:38" x14ac:dyDescent="0.35">
      <c r="A174" s="471">
        <f t="shared" si="9"/>
        <v>0</v>
      </c>
      <c r="B174" s="459" t="s">
        <v>506</v>
      </c>
      <c r="C174" s="457">
        <v>0</v>
      </c>
      <c r="D174" s="460" t="str">
        <f>RevenueStreams!$E$32</f>
        <v>Per Hr</v>
      </c>
      <c r="E174" s="461">
        <f>C174*RevenueStreams!$D$32</f>
        <v>0</v>
      </c>
      <c r="F174" s="457">
        <v>0</v>
      </c>
      <c r="G174" s="460" t="str">
        <f>RevenueStreams!$E$32</f>
        <v>Per Hr</v>
      </c>
      <c r="H174" s="461">
        <f>F174*RevenueStreams!$D$32</f>
        <v>0</v>
      </c>
      <c r="I174" s="457">
        <v>0</v>
      </c>
      <c r="J174" s="460" t="str">
        <f>RevenueStreams!$E$32</f>
        <v>Per Hr</v>
      </c>
      <c r="K174" s="461">
        <f>I174*RevenueStreams!$D$32</f>
        <v>0</v>
      </c>
      <c r="L174" s="457">
        <v>0</v>
      </c>
      <c r="M174" s="460" t="str">
        <f>RevenueStreams!$E$32</f>
        <v>Per Hr</v>
      </c>
      <c r="N174" s="461">
        <f>L174*RevenueStreams!$D$32</f>
        <v>0</v>
      </c>
      <c r="O174" s="457">
        <v>0</v>
      </c>
      <c r="P174" s="460" t="str">
        <f>RevenueStreams!$E$32</f>
        <v>Per Hr</v>
      </c>
      <c r="Q174" s="461">
        <f>O174*RevenueStreams!$D$32</f>
        <v>0</v>
      </c>
      <c r="R174" s="457">
        <v>0</v>
      </c>
      <c r="S174" s="460" t="str">
        <f>RevenueStreams!$E$32</f>
        <v>Per Hr</v>
      </c>
      <c r="T174" s="461">
        <f>R174*RevenueStreams!$D$32</f>
        <v>0</v>
      </c>
      <c r="U174" s="457">
        <v>0</v>
      </c>
      <c r="V174" s="460" t="str">
        <f>RevenueStreams!$E$32</f>
        <v>Per Hr</v>
      </c>
      <c r="W174" s="461">
        <f>U174*RevenueStreams!$D$32</f>
        <v>0</v>
      </c>
      <c r="X174" s="457">
        <v>0</v>
      </c>
      <c r="Y174" s="460" t="str">
        <f>RevenueStreams!$E$32</f>
        <v>Per Hr</v>
      </c>
      <c r="Z174" s="461">
        <f>X174*RevenueStreams!$D$32</f>
        <v>0</v>
      </c>
      <c r="AA174" s="457">
        <v>0</v>
      </c>
      <c r="AB174" s="460" t="str">
        <f>RevenueStreams!$E$32</f>
        <v>Per Hr</v>
      </c>
      <c r="AC174" s="461">
        <f>AA174*RevenueStreams!$D$32</f>
        <v>0</v>
      </c>
      <c r="AD174" s="457">
        <v>0</v>
      </c>
      <c r="AE174" s="460" t="str">
        <f>RevenueStreams!$E$32</f>
        <v>Per Hr</v>
      </c>
      <c r="AF174" s="461">
        <f>AD174*RevenueStreams!$D$32</f>
        <v>0</v>
      </c>
      <c r="AG174" s="457">
        <v>0</v>
      </c>
      <c r="AH174" s="460" t="str">
        <f>RevenueStreams!$E$32</f>
        <v>Per Hr</v>
      </c>
      <c r="AI174" s="461">
        <f>AG174*RevenueStreams!$D$32</f>
        <v>0</v>
      </c>
      <c r="AJ174" s="457">
        <v>0</v>
      </c>
      <c r="AK174" s="460" t="str">
        <f>RevenueStreams!$E$32</f>
        <v>Per Hr</v>
      </c>
      <c r="AL174" s="461">
        <f>AJ174*RevenueStreams!$D$32</f>
        <v>0</v>
      </c>
    </row>
    <row r="175" spans="1:38" x14ac:dyDescent="0.35">
      <c r="A175" s="471">
        <f t="shared" si="9"/>
        <v>5949.9519999999984</v>
      </c>
      <c r="B175" s="459" t="s">
        <v>508</v>
      </c>
      <c r="C175" s="457">
        <f>8*2*2</f>
        <v>32</v>
      </c>
      <c r="D175" s="460" t="str">
        <f>RevenueStreams!$E$33</f>
        <v>Per Hr</v>
      </c>
      <c r="E175" s="461">
        <f>C175*RevenueStreams!$D$33</f>
        <v>495.82933333333335</v>
      </c>
      <c r="F175" s="457">
        <f>8*2*2</f>
        <v>32</v>
      </c>
      <c r="G175" s="460" t="str">
        <f>RevenueStreams!$E$33</f>
        <v>Per Hr</v>
      </c>
      <c r="H175" s="461">
        <f>F175*RevenueStreams!$D$33</f>
        <v>495.82933333333335</v>
      </c>
      <c r="I175" s="457">
        <f>8*2*2</f>
        <v>32</v>
      </c>
      <c r="J175" s="460" t="str">
        <f>RevenueStreams!$E$33</f>
        <v>Per Hr</v>
      </c>
      <c r="K175" s="461">
        <f>I175*RevenueStreams!$D$33</f>
        <v>495.82933333333335</v>
      </c>
      <c r="L175" s="457">
        <f>8*2*2</f>
        <v>32</v>
      </c>
      <c r="M175" s="460" t="str">
        <f>RevenueStreams!$E$33</f>
        <v>Per Hr</v>
      </c>
      <c r="N175" s="461">
        <f>L175*RevenueStreams!$D$33</f>
        <v>495.82933333333335</v>
      </c>
      <c r="O175" s="457">
        <f>8*2*2</f>
        <v>32</v>
      </c>
      <c r="P175" s="460" t="str">
        <f>RevenueStreams!$E$33</f>
        <v>Per Hr</v>
      </c>
      <c r="Q175" s="461">
        <f>O175*RevenueStreams!$D$33</f>
        <v>495.82933333333335</v>
      </c>
      <c r="R175" s="457">
        <f>8*2*2</f>
        <v>32</v>
      </c>
      <c r="S175" s="460" t="str">
        <f>RevenueStreams!$E$33</f>
        <v>Per Hr</v>
      </c>
      <c r="T175" s="461">
        <f>R175*RevenueStreams!$D$33</f>
        <v>495.82933333333335</v>
      </c>
      <c r="U175" s="457">
        <f>8*2*2</f>
        <v>32</v>
      </c>
      <c r="V175" s="460" t="str">
        <f>RevenueStreams!$E$33</f>
        <v>Per Hr</v>
      </c>
      <c r="W175" s="461">
        <f>U175*RevenueStreams!$D$33</f>
        <v>495.82933333333335</v>
      </c>
      <c r="X175" s="457">
        <f>8*2*2</f>
        <v>32</v>
      </c>
      <c r="Y175" s="460" t="str">
        <f>RevenueStreams!$E$33</f>
        <v>Per Hr</v>
      </c>
      <c r="Z175" s="461">
        <f>X175*RevenueStreams!$D$33</f>
        <v>495.82933333333335</v>
      </c>
      <c r="AA175" s="457">
        <f>8*2*2</f>
        <v>32</v>
      </c>
      <c r="AB175" s="460" t="str">
        <f>RevenueStreams!$E$33</f>
        <v>Per Hr</v>
      </c>
      <c r="AC175" s="461">
        <f>AA175*RevenueStreams!$D$33</f>
        <v>495.82933333333335</v>
      </c>
      <c r="AD175" s="457">
        <f>8*2*2</f>
        <v>32</v>
      </c>
      <c r="AE175" s="460" t="str">
        <f>RevenueStreams!$E$33</f>
        <v>Per Hr</v>
      </c>
      <c r="AF175" s="461">
        <f>AD175*RevenueStreams!$D$33</f>
        <v>495.82933333333335</v>
      </c>
      <c r="AG175" s="457">
        <f>8*2*2</f>
        <v>32</v>
      </c>
      <c r="AH175" s="460" t="str">
        <f>RevenueStreams!$E$33</f>
        <v>Per Hr</v>
      </c>
      <c r="AI175" s="461">
        <f>AG175*RevenueStreams!$D$33</f>
        <v>495.82933333333335</v>
      </c>
      <c r="AJ175" s="457">
        <f>8*2*2</f>
        <v>32</v>
      </c>
      <c r="AK175" s="460" t="str">
        <f>RevenueStreams!$E$33</f>
        <v>Per Hr</v>
      </c>
      <c r="AL175" s="461">
        <f>AJ175*RevenueStreams!$D$33</f>
        <v>495.82933333333335</v>
      </c>
    </row>
    <row r="176" spans="1:38" x14ac:dyDescent="0.35">
      <c r="A176" s="471">
        <f>SUM(E176,H176,K176,N176,Q176,T176,W176,Z176,AC176,AF176,AI176,AL176)</f>
        <v>14400</v>
      </c>
      <c r="B176" s="459" t="s">
        <v>520</v>
      </c>
      <c r="C176" s="457">
        <f>1*8*3</f>
        <v>24</v>
      </c>
      <c r="D176" s="460" t="str">
        <f>RevenueStreams!$E$34</f>
        <v>Per Hr</v>
      </c>
      <c r="E176" s="461">
        <f>C176*RevenueStreams!$D$34</f>
        <v>1200</v>
      </c>
      <c r="F176" s="457">
        <f>1*8*3</f>
        <v>24</v>
      </c>
      <c r="G176" s="460" t="str">
        <f>RevenueStreams!$E$34</f>
        <v>Per Hr</v>
      </c>
      <c r="H176" s="461">
        <f>F176*RevenueStreams!$D$34</f>
        <v>1200</v>
      </c>
      <c r="I176" s="457">
        <f>1*8*3</f>
        <v>24</v>
      </c>
      <c r="J176" s="460" t="str">
        <f>RevenueStreams!$E$34</f>
        <v>Per Hr</v>
      </c>
      <c r="K176" s="461">
        <f>I176*RevenueStreams!$D$34</f>
        <v>1200</v>
      </c>
      <c r="L176" s="457">
        <f>1*8*3</f>
        <v>24</v>
      </c>
      <c r="M176" s="460" t="str">
        <f>RevenueStreams!$E$34</f>
        <v>Per Hr</v>
      </c>
      <c r="N176" s="461">
        <f>L176*RevenueStreams!$D$34</f>
        <v>1200</v>
      </c>
      <c r="O176" s="457">
        <f>1*8*3</f>
        <v>24</v>
      </c>
      <c r="P176" s="460" t="str">
        <f>RevenueStreams!$E$34</f>
        <v>Per Hr</v>
      </c>
      <c r="Q176" s="461">
        <f>O176*RevenueStreams!$D$34</f>
        <v>1200</v>
      </c>
      <c r="R176" s="457">
        <f>1*8*3</f>
        <v>24</v>
      </c>
      <c r="S176" s="460" t="str">
        <f>RevenueStreams!$E$34</f>
        <v>Per Hr</v>
      </c>
      <c r="T176" s="461">
        <f>R176*RevenueStreams!$D$34</f>
        <v>1200</v>
      </c>
      <c r="U176" s="457">
        <f>1*8*3</f>
        <v>24</v>
      </c>
      <c r="V176" s="460" t="str">
        <f>RevenueStreams!$E$34</f>
        <v>Per Hr</v>
      </c>
      <c r="W176" s="461">
        <f>U176*RevenueStreams!$D$34</f>
        <v>1200</v>
      </c>
      <c r="X176" s="457">
        <f>1*8*3</f>
        <v>24</v>
      </c>
      <c r="Y176" s="460" t="str">
        <f>RevenueStreams!$E$34</f>
        <v>Per Hr</v>
      </c>
      <c r="Z176" s="461">
        <f>X176*RevenueStreams!$D$34</f>
        <v>1200</v>
      </c>
      <c r="AA176" s="457">
        <f>1*8*3</f>
        <v>24</v>
      </c>
      <c r="AB176" s="460" t="str">
        <f>RevenueStreams!$E$34</f>
        <v>Per Hr</v>
      </c>
      <c r="AC176" s="461">
        <f>AA176*RevenueStreams!$D$34</f>
        <v>1200</v>
      </c>
      <c r="AD176" s="457">
        <f>1*8*3</f>
        <v>24</v>
      </c>
      <c r="AE176" s="460" t="str">
        <f>RevenueStreams!$E$34</f>
        <v>Per Hr</v>
      </c>
      <c r="AF176" s="461">
        <f>AD176*RevenueStreams!$D$34</f>
        <v>1200</v>
      </c>
      <c r="AG176" s="457">
        <f>1*8*3</f>
        <v>24</v>
      </c>
      <c r="AH176" s="460" t="str">
        <f>RevenueStreams!$E$34</f>
        <v>Per Hr</v>
      </c>
      <c r="AI176" s="461">
        <f>AG176*RevenueStreams!$D$34</f>
        <v>1200</v>
      </c>
      <c r="AJ176" s="457">
        <f>1*8*3</f>
        <v>24</v>
      </c>
      <c r="AK176" s="460" t="str">
        <f>RevenueStreams!$E$34</f>
        <v>Per Hr</v>
      </c>
      <c r="AL176" s="461">
        <f>AJ176*RevenueStreams!$D$34</f>
        <v>1200</v>
      </c>
    </row>
    <row r="177" spans="1:41" x14ac:dyDescent="0.35">
      <c r="A177" s="472"/>
      <c r="B177" s="459" t="s">
        <v>499</v>
      </c>
      <c r="C177" s="457">
        <v>0</v>
      </c>
      <c r="D177" s="460" t="str">
        <f>RevenueStreams!$E$36</f>
        <v>% of Charged</v>
      </c>
      <c r="E177" s="461">
        <f>C177*RevenueStreams!$D$36</f>
        <v>0</v>
      </c>
      <c r="F177" s="457">
        <v>0</v>
      </c>
      <c r="G177" s="460" t="str">
        <f>RevenueStreams!$E$36</f>
        <v>% of Charged</v>
      </c>
      <c r="H177" s="461">
        <f>F177*RevenueStreams!$D$36</f>
        <v>0</v>
      </c>
      <c r="I177" s="457">
        <v>0</v>
      </c>
      <c r="J177" s="460" t="str">
        <f>RevenueStreams!$E$36</f>
        <v>% of Charged</v>
      </c>
      <c r="K177" s="461">
        <f>I177*RevenueStreams!$D$36</f>
        <v>0</v>
      </c>
      <c r="L177" s="457">
        <v>0</v>
      </c>
      <c r="M177" s="460" t="str">
        <f>RevenueStreams!$E$36</f>
        <v>% of Charged</v>
      </c>
      <c r="N177" s="461">
        <f>L177*RevenueStreams!$D$36</f>
        <v>0</v>
      </c>
      <c r="O177" s="457">
        <v>0</v>
      </c>
      <c r="P177" s="460" t="str">
        <f>RevenueStreams!$E$36</f>
        <v>% of Charged</v>
      </c>
      <c r="Q177" s="461">
        <f>O177*RevenueStreams!$D$36</f>
        <v>0</v>
      </c>
      <c r="R177" s="457">
        <v>0</v>
      </c>
      <c r="S177" s="460" t="str">
        <f>RevenueStreams!$E$36</f>
        <v>% of Charged</v>
      </c>
      <c r="T177" s="461">
        <f>R177*RevenueStreams!$D$36</f>
        <v>0</v>
      </c>
      <c r="U177" s="457">
        <v>0</v>
      </c>
      <c r="V177" s="460" t="str">
        <f>RevenueStreams!$E$36</f>
        <v>% of Charged</v>
      </c>
      <c r="W177" s="461">
        <f>U177*RevenueStreams!$D$36</f>
        <v>0</v>
      </c>
      <c r="X177" s="457">
        <v>0</v>
      </c>
      <c r="Y177" s="460" t="str">
        <f>RevenueStreams!$E$36</f>
        <v>% of Charged</v>
      </c>
      <c r="Z177" s="461">
        <f>X177*RevenueStreams!$D$36</f>
        <v>0</v>
      </c>
      <c r="AA177" s="457">
        <v>0</v>
      </c>
      <c r="AB177" s="460" t="str">
        <f>RevenueStreams!$E$36</f>
        <v>% of Charged</v>
      </c>
      <c r="AC177" s="461">
        <f>AA177*RevenueStreams!$D$36</f>
        <v>0</v>
      </c>
      <c r="AD177" s="457">
        <v>0</v>
      </c>
      <c r="AE177" s="460" t="str">
        <f>RevenueStreams!$E$36</f>
        <v>% of Charged</v>
      </c>
      <c r="AF177" s="461">
        <f>AD177*RevenueStreams!$D$36</f>
        <v>0</v>
      </c>
      <c r="AG177" s="457">
        <v>0</v>
      </c>
      <c r="AH177" s="460" t="str">
        <f>RevenueStreams!$E$36</f>
        <v>% of Charged</v>
      </c>
      <c r="AI177" s="461">
        <f>AG177*RevenueStreams!$D$36</f>
        <v>0</v>
      </c>
      <c r="AJ177" s="457">
        <v>0</v>
      </c>
      <c r="AK177" s="460" t="str">
        <f>RevenueStreams!$E$36</f>
        <v>% of Charged</v>
      </c>
      <c r="AL177" s="461">
        <f>AJ177*RevenueStreams!$D$36</f>
        <v>0</v>
      </c>
    </row>
    <row r="178" spans="1:41" x14ac:dyDescent="0.35">
      <c r="A178" s="469">
        <f>SUM(E178,H178,K178,N178,Q178,T178,W178,Z178,AC178,AF178,AI178,AL178)</f>
        <v>47747.106000000007</v>
      </c>
      <c r="B178" s="509" t="s">
        <v>700</v>
      </c>
      <c r="C178" s="520">
        <f>SUM(C155:C177)</f>
        <v>158</v>
      </c>
      <c r="D178" s="511"/>
      <c r="E178" s="461">
        <f>SUM(E155:E177)</f>
        <v>3973.8293333333331</v>
      </c>
      <c r="F178" s="520">
        <f>SUM(F155:F177)</f>
        <v>158</v>
      </c>
      <c r="G178" s="511"/>
      <c r="H178" s="461">
        <f>SUM(H155:H177)</f>
        <v>3973.8293333333331</v>
      </c>
      <c r="I178" s="520">
        <f>SUM(I155:I177)</f>
        <v>158</v>
      </c>
      <c r="J178" s="511"/>
      <c r="K178" s="461">
        <f>SUM(K155:K177)</f>
        <v>3973.8293333333331</v>
      </c>
      <c r="L178" s="520">
        <f>SUM(L155:L177)</f>
        <v>206</v>
      </c>
      <c r="M178" s="511"/>
      <c r="N178" s="461">
        <f>SUM(N155:N177)</f>
        <v>4453.8293333333331</v>
      </c>
      <c r="O178" s="520">
        <f>SUM(O155:O177)</f>
        <v>206</v>
      </c>
      <c r="P178" s="511"/>
      <c r="Q178" s="461">
        <f>SUM(Q155:Q177)</f>
        <v>4453.8293333333331</v>
      </c>
      <c r="R178" s="520">
        <f>SUM(R155:R177)</f>
        <v>190</v>
      </c>
      <c r="S178" s="511"/>
      <c r="T178" s="461">
        <f>SUM(T155:T177)</f>
        <v>4844.4063333333334</v>
      </c>
      <c r="U178" s="520">
        <f>SUM(U155:U177)</f>
        <v>166</v>
      </c>
      <c r="V178" s="511"/>
      <c r="W178" s="461">
        <f>SUM(W155:W177)</f>
        <v>4604.4063333333334</v>
      </c>
      <c r="X178" s="520">
        <f>SUM(X155:X177)</f>
        <v>110</v>
      </c>
      <c r="Y178" s="511"/>
      <c r="Z178" s="461">
        <f>SUM(Z155:Z177)</f>
        <v>3493.8293333333331</v>
      </c>
      <c r="AA178" s="520">
        <f>SUM(AA155:AA177)</f>
        <v>110</v>
      </c>
      <c r="AB178" s="511"/>
      <c r="AC178" s="461">
        <f>SUM(AC155:AC177)</f>
        <v>3493.8293333333331</v>
      </c>
      <c r="AD178" s="520">
        <f>SUM(AD155:AD177)</f>
        <v>110</v>
      </c>
      <c r="AE178" s="511"/>
      <c r="AF178" s="461">
        <f>SUM(AF155:AF177)</f>
        <v>3493.8293333333331</v>
      </c>
      <c r="AG178" s="520">
        <f>SUM(AG155:AG177)</f>
        <v>110</v>
      </c>
      <c r="AH178" s="511"/>
      <c r="AI178" s="461">
        <f>SUM(AI155:AI177)</f>
        <v>3493.8293333333331</v>
      </c>
      <c r="AJ178" s="520">
        <f>SUM(AJ155:AJ177)</f>
        <v>110</v>
      </c>
      <c r="AK178" s="511"/>
      <c r="AL178" s="461">
        <f>SUM(AL155:AL177)</f>
        <v>3493.8293333333331</v>
      </c>
    </row>
    <row r="180" spans="1:41" x14ac:dyDescent="0.35">
      <c r="A180" s="507" t="s">
        <v>653</v>
      </c>
      <c r="B180" s="508" t="s">
        <v>701</v>
      </c>
      <c r="C180" s="501" t="s">
        <v>33</v>
      </c>
      <c r="D180" s="502"/>
      <c r="E180" s="503" t="s">
        <v>320</v>
      </c>
      <c r="F180" s="501" t="s">
        <v>33</v>
      </c>
      <c r="G180" s="502"/>
      <c r="H180" s="503" t="s">
        <v>320</v>
      </c>
      <c r="I180" s="501" t="s">
        <v>33</v>
      </c>
      <c r="J180" s="502"/>
      <c r="K180" s="503" t="s">
        <v>320</v>
      </c>
      <c r="L180" s="501" t="s">
        <v>33</v>
      </c>
      <c r="M180" s="502"/>
      <c r="N180" s="503" t="s">
        <v>320</v>
      </c>
      <c r="O180" s="501" t="s">
        <v>33</v>
      </c>
      <c r="P180" s="502"/>
      <c r="Q180" s="503" t="s">
        <v>320</v>
      </c>
      <c r="R180" s="501" t="s">
        <v>33</v>
      </c>
      <c r="S180" s="502"/>
      <c r="T180" s="503" t="s">
        <v>320</v>
      </c>
      <c r="U180" s="501" t="s">
        <v>33</v>
      </c>
      <c r="V180" s="502"/>
      <c r="W180" s="503" t="s">
        <v>320</v>
      </c>
      <c r="X180" s="501" t="s">
        <v>33</v>
      </c>
      <c r="Y180" s="502"/>
      <c r="Z180" s="503" t="s">
        <v>320</v>
      </c>
      <c r="AA180" s="501" t="s">
        <v>33</v>
      </c>
      <c r="AB180" s="502"/>
      <c r="AC180" s="503" t="s">
        <v>320</v>
      </c>
      <c r="AD180" s="501" t="s">
        <v>33</v>
      </c>
      <c r="AE180" s="502"/>
      <c r="AF180" s="503" t="s">
        <v>320</v>
      </c>
      <c r="AG180" s="501" t="s">
        <v>33</v>
      </c>
      <c r="AH180" s="502"/>
      <c r="AI180" s="503" t="s">
        <v>320</v>
      </c>
      <c r="AJ180" s="501" t="s">
        <v>33</v>
      </c>
      <c r="AK180" s="502"/>
      <c r="AL180" s="503" t="s">
        <v>320</v>
      </c>
    </row>
    <row r="181" spans="1:41" x14ac:dyDescent="0.35">
      <c r="A181" s="471">
        <f>SUM(E181,H181,K181,N181,Q181,T181,W181,Z181,AC181,AF181,AI181,AL181)</f>
        <v>49308.480000000003</v>
      </c>
      <c r="B181" s="506">
        <f>Payroll!B150</f>
        <v>0</v>
      </c>
      <c r="C181" s="517">
        <v>120</v>
      </c>
      <c r="D181" s="504"/>
      <c r="E181" s="461">
        <f>C181*Payroll!$O$19/(50*5*8/12)</f>
        <v>4109.04</v>
      </c>
      <c r="F181" s="517">
        <v>120</v>
      </c>
      <c r="G181" s="504"/>
      <c r="H181" s="461">
        <f>F181*Payroll!$O$19/(50*5*8/12)</f>
        <v>4109.04</v>
      </c>
      <c r="I181" s="517">
        <v>120</v>
      </c>
      <c r="J181" s="504"/>
      <c r="K181" s="461">
        <f>I181*Payroll!$O$19/(50*5*8/12)</f>
        <v>4109.04</v>
      </c>
      <c r="L181" s="517">
        <v>120</v>
      </c>
      <c r="M181" s="504"/>
      <c r="N181" s="461">
        <f>L181*Payroll!$O$19/(50*5*8/12)</f>
        <v>4109.04</v>
      </c>
      <c r="O181" s="517">
        <v>120</v>
      </c>
      <c r="P181" s="504"/>
      <c r="Q181" s="461">
        <f>O181*Payroll!$O$19/(50*5*8/12)</f>
        <v>4109.04</v>
      </c>
      <c r="R181" s="517">
        <v>120</v>
      </c>
      <c r="S181" s="504"/>
      <c r="T181" s="461">
        <f>R181*Payroll!$O$19/(50*5*8/12)</f>
        <v>4109.04</v>
      </c>
      <c r="U181" s="517">
        <v>120</v>
      </c>
      <c r="V181" s="504"/>
      <c r="W181" s="461">
        <f>U181*Payroll!$O$19/(50*5*8/12)</f>
        <v>4109.04</v>
      </c>
      <c r="X181" s="517">
        <v>120</v>
      </c>
      <c r="Y181" s="504"/>
      <c r="Z181" s="461">
        <f>X181*Payroll!$O$19/(50*5*8/12)</f>
        <v>4109.04</v>
      </c>
      <c r="AA181" s="517">
        <v>120</v>
      </c>
      <c r="AB181" s="504"/>
      <c r="AC181" s="461">
        <f>AA181*Payroll!$O$19/(50*5*8/12)</f>
        <v>4109.04</v>
      </c>
      <c r="AD181" s="517">
        <v>120</v>
      </c>
      <c r="AE181" s="504"/>
      <c r="AF181" s="461">
        <f>AD181*Payroll!$O$19/(50*5*8/12)</f>
        <v>4109.04</v>
      </c>
      <c r="AG181" s="517">
        <v>120</v>
      </c>
      <c r="AH181" s="504"/>
      <c r="AI181" s="461">
        <f>AG181*Payroll!$O$19/(50*5*8/12)</f>
        <v>4109.04</v>
      </c>
      <c r="AJ181" s="517">
        <v>120</v>
      </c>
      <c r="AK181" s="504"/>
      <c r="AL181" s="461">
        <f>AJ181*Payroll!$O$19/(50*5*8/12)</f>
        <v>4109.04</v>
      </c>
      <c r="AN181" s="114" t="s">
        <v>744</v>
      </c>
      <c r="AO181" s="446">
        <f>SUM(A181:A187)</f>
        <v>98616.960000000006</v>
      </c>
    </row>
    <row r="182" spans="1:41" x14ac:dyDescent="0.35">
      <c r="A182" s="471">
        <f>SUM(E182,H182,K182,N182,Q182,T182,W182,Z182,AC182,AF182,AI182,AL182)</f>
        <v>0</v>
      </c>
      <c r="B182" s="506">
        <f>Payroll!B151</f>
        <v>0</v>
      </c>
      <c r="C182" s="517"/>
      <c r="D182" s="504"/>
      <c r="E182" s="461">
        <f>C182*Payroll!$O$19/(50*5*8/12)</f>
        <v>0</v>
      </c>
      <c r="F182" s="517"/>
      <c r="G182" s="504"/>
      <c r="H182" s="461">
        <f>F182*Payroll!$O$19/(50*5*8/12)</f>
        <v>0</v>
      </c>
      <c r="I182" s="517"/>
      <c r="J182" s="504"/>
      <c r="K182" s="461">
        <f>I182*Payroll!$O$19/(50*5*8/12)</f>
        <v>0</v>
      </c>
      <c r="L182" s="517"/>
      <c r="M182" s="504"/>
      <c r="N182" s="461">
        <f>L182*Payroll!$O$19/(50*5*8/12)</f>
        <v>0</v>
      </c>
      <c r="O182" s="517"/>
      <c r="P182" s="504"/>
      <c r="Q182" s="461">
        <f>O182*Payroll!$O$19/(50*5*8/12)</f>
        <v>0</v>
      </c>
      <c r="R182" s="517"/>
      <c r="S182" s="504"/>
      <c r="T182" s="461">
        <f>R182*Payroll!$O$19/(50*5*8/12)</f>
        <v>0</v>
      </c>
      <c r="U182" s="517"/>
      <c r="V182" s="504"/>
      <c r="W182" s="461">
        <f>U182*Payroll!$O$19/(50*5*8/12)</f>
        <v>0</v>
      </c>
      <c r="X182" s="517"/>
      <c r="Y182" s="504"/>
      <c r="Z182" s="461">
        <f>X182*Payroll!$O$19/(50*5*8/12)</f>
        <v>0</v>
      </c>
      <c r="AA182" s="517"/>
      <c r="AB182" s="504"/>
      <c r="AC182" s="461">
        <f>AA182*Payroll!$O$19/(50*5*8/12)</f>
        <v>0</v>
      </c>
      <c r="AD182" s="517"/>
      <c r="AE182" s="504"/>
      <c r="AF182" s="461">
        <f>AD182*Payroll!$O$19/(50*5*8/12)</f>
        <v>0</v>
      </c>
      <c r="AG182" s="517"/>
      <c r="AH182" s="504"/>
      <c r="AI182" s="461">
        <f>AG182*Payroll!$O$19/(50*5*8/12)</f>
        <v>0</v>
      </c>
      <c r="AJ182" s="517"/>
      <c r="AK182" s="504"/>
      <c r="AL182" s="461">
        <f>AJ182*Payroll!$O$19/(50*5*8/12)</f>
        <v>0</v>
      </c>
      <c r="AN182" s="114" t="s">
        <v>745</v>
      </c>
      <c r="AO182" s="446">
        <f>SUM(A192,A193,A194,A199,A201,A202,A203,A205)</f>
        <v>28920</v>
      </c>
    </row>
    <row r="183" spans="1:41" x14ac:dyDescent="0.35">
      <c r="A183" s="471">
        <f>SUM(E183,H183,K183,N183,Q183,T183,W183,Z183,AC183,AF183,AI183,AL183)</f>
        <v>49308.480000000003</v>
      </c>
      <c r="B183" s="506">
        <f>Payroll!B152</f>
        <v>0</v>
      </c>
      <c r="C183" s="517">
        <v>120</v>
      </c>
      <c r="D183" s="504"/>
      <c r="E183" s="461">
        <f>C183*Payroll!$O$19/(50*5*8/12)</f>
        <v>4109.04</v>
      </c>
      <c r="F183" s="517">
        <v>120</v>
      </c>
      <c r="G183" s="504"/>
      <c r="H183" s="461">
        <f>F183*Payroll!$O$19/(50*5*8/12)</f>
        <v>4109.04</v>
      </c>
      <c r="I183" s="517">
        <v>120</v>
      </c>
      <c r="J183" s="504"/>
      <c r="K183" s="461">
        <f>I183*Payroll!$O$19/(50*5*8/12)</f>
        <v>4109.04</v>
      </c>
      <c r="L183" s="517">
        <v>120</v>
      </c>
      <c r="M183" s="504"/>
      <c r="N183" s="461">
        <f>L183*Payroll!$O$19/(50*5*8/12)</f>
        <v>4109.04</v>
      </c>
      <c r="O183" s="517">
        <v>120</v>
      </c>
      <c r="P183" s="504"/>
      <c r="Q183" s="461">
        <f>O183*Payroll!$O$19/(50*5*8/12)</f>
        <v>4109.04</v>
      </c>
      <c r="R183" s="517">
        <v>120</v>
      </c>
      <c r="S183" s="504"/>
      <c r="T183" s="461">
        <f>R183*Payroll!$O$19/(50*5*8/12)</f>
        <v>4109.04</v>
      </c>
      <c r="U183" s="517">
        <v>120</v>
      </c>
      <c r="V183" s="504"/>
      <c r="W183" s="461">
        <f>U183*Payroll!$O$19/(50*5*8/12)</f>
        <v>4109.04</v>
      </c>
      <c r="X183" s="517">
        <v>120</v>
      </c>
      <c r="Y183" s="504"/>
      <c r="Z183" s="461">
        <f>X183*Payroll!$O$19/(50*5*8/12)</f>
        <v>4109.04</v>
      </c>
      <c r="AA183" s="517">
        <v>120</v>
      </c>
      <c r="AB183" s="504"/>
      <c r="AC183" s="461">
        <f>AA183*Payroll!$O$19/(50*5*8/12)</f>
        <v>4109.04</v>
      </c>
      <c r="AD183" s="517">
        <v>120</v>
      </c>
      <c r="AE183" s="504"/>
      <c r="AF183" s="461">
        <f>AD183*Payroll!$O$19/(50*5*8/12)</f>
        <v>4109.04</v>
      </c>
      <c r="AG183" s="517">
        <v>120</v>
      </c>
      <c r="AH183" s="504"/>
      <c r="AI183" s="461">
        <f>AG183*Payroll!$O$19/(50*5*8/12)</f>
        <v>4109.04</v>
      </c>
      <c r="AJ183" s="517">
        <v>120</v>
      </c>
      <c r="AK183" s="504"/>
      <c r="AL183" s="461">
        <f>AJ183*Payroll!$O$19/(50*5*8/12)</f>
        <v>4109.04</v>
      </c>
      <c r="AN183" s="114" t="s">
        <v>746</v>
      </c>
      <c r="AO183" s="446">
        <f>SUM(A193,A195,A197,A198,A206)</f>
        <v>14050</v>
      </c>
    </row>
    <row r="184" spans="1:41" x14ac:dyDescent="0.35">
      <c r="A184" s="471">
        <f>SUM(E184,H184,K184,N184,Q184,T184,W184,Z184,AC184,AF184,AI184,AL184)</f>
        <v>0</v>
      </c>
      <c r="B184" s="506">
        <f>Payroll!B153</f>
        <v>0</v>
      </c>
      <c r="C184" s="517"/>
      <c r="D184" s="504"/>
      <c r="E184" s="461">
        <f>C184*Payroll!$O$19/(50*5*8/12)</f>
        <v>0</v>
      </c>
      <c r="F184" s="517"/>
      <c r="G184" s="504"/>
      <c r="H184" s="461">
        <f>F184*Payroll!$O$19/(50*5*8/12)</f>
        <v>0</v>
      </c>
      <c r="I184" s="517"/>
      <c r="J184" s="504"/>
      <c r="K184" s="461">
        <f>I184*Payroll!$O$19/(50*5*8/12)</f>
        <v>0</v>
      </c>
      <c r="L184" s="517"/>
      <c r="M184" s="504"/>
      <c r="N184" s="461">
        <f>L184*Payroll!$O$19/(50*5*8/12)</f>
        <v>0</v>
      </c>
      <c r="O184" s="517"/>
      <c r="P184" s="504"/>
      <c r="Q184" s="461">
        <f>O184*Payroll!$O$19/(50*5*8/12)</f>
        <v>0</v>
      </c>
      <c r="R184" s="517"/>
      <c r="S184" s="504"/>
      <c r="T184" s="461">
        <f>R184*Payroll!$O$19/(50*5*8/12)</f>
        <v>0</v>
      </c>
      <c r="U184" s="517"/>
      <c r="V184" s="504"/>
      <c r="W184" s="461">
        <f>U184*Payroll!$O$19/(50*5*8/12)</f>
        <v>0</v>
      </c>
      <c r="X184" s="517"/>
      <c r="Y184" s="504"/>
      <c r="Z184" s="461">
        <f>X184*Payroll!$O$19/(50*5*8/12)</f>
        <v>0</v>
      </c>
      <c r="AA184" s="517"/>
      <c r="AB184" s="504"/>
      <c r="AC184" s="461">
        <f>AA184*Payroll!$O$19/(50*5*8/12)</f>
        <v>0</v>
      </c>
      <c r="AD184" s="517"/>
      <c r="AE184" s="504"/>
      <c r="AF184" s="461">
        <f>AD184*Payroll!$O$19/(50*5*8/12)</f>
        <v>0</v>
      </c>
      <c r="AG184" s="517"/>
      <c r="AH184" s="504"/>
      <c r="AI184" s="461">
        <f>AG184*Payroll!$O$19/(50*5*8/12)</f>
        <v>0</v>
      </c>
      <c r="AJ184" s="517"/>
      <c r="AK184" s="504"/>
      <c r="AL184" s="461">
        <f>AJ184*Payroll!$O$19/(50*5*8/12)</f>
        <v>0</v>
      </c>
      <c r="AN184" s="114" t="s">
        <v>747</v>
      </c>
      <c r="AO184" s="446">
        <f>SUM(A196,A191,A204)</f>
        <v>8400</v>
      </c>
    </row>
    <row r="185" spans="1:41" x14ac:dyDescent="0.35">
      <c r="A185" s="471">
        <f>SUM(E185,H185,K185,N185,Q185,T185,W185,Z185,AC185,AF185,AI185,AL185)</f>
        <v>0</v>
      </c>
      <c r="B185" s="506">
        <f>Payroll!B154</f>
        <v>0</v>
      </c>
      <c r="C185" s="517"/>
      <c r="D185" s="504"/>
      <c r="E185" s="461">
        <f>C185*Payroll!$O$19/(50*5*8/12)</f>
        <v>0</v>
      </c>
      <c r="F185" s="517"/>
      <c r="G185" s="504"/>
      <c r="H185" s="461">
        <f>F185*Payroll!$O$19/(50*5*8/12)</f>
        <v>0</v>
      </c>
      <c r="I185" s="517"/>
      <c r="J185" s="504"/>
      <c r="K185" s="461">
        <f>I185*Payroll!$O$19/(50*5*8/12)</f>
        <v>0</v>
      </c>
      <c r="L185" s="517"/>
      <c r="M185" s="504"/>
      <c r="N185" s="461">
        <f>L185*Payroll!$O$19/(50*5*8/12)</f>
        <v>0</v>
      </c>
      <c r="O185" s="517"/>
      <c r="P185" s="504"/>
      <c r="Q185" s="461">
        <f>O185*Payroll!$O$19/(50*5*8/12)</f>
        <v>0</v>
      </c>
      <c r="R185" s="517"/>
      <c r="S185" s="504"/>
      <c r="T185" s="461">
        <f>R185*Payroll!$O$19/(50*5*8/12)</f>
        <v>0</v>
      </c>
      <c r="U185" s="517"/>
      <c r="V185" s="504"/>
      <c r="W185" s="461">
        <f>U185*Payroll!$O$19/(50*5*8/12)</f>
        <v>0</v>
      </c>
      <c r="X185" s="517"/>
      <c r="Y185" s="504"/>
      <c r="Z185" s="461">
        <f>X185*Payroll!$O$19/(50*5*8/12)</f>
        <v>0</v>
      </c>
      <c r="AA185" s="517"/>
      <c r="AB185" s="504"/>
      <c r="AC185" s="461">
        <f>AA185*Payroll!$O$19/(50*5*8/12)</f>
        <v>0</v>
      </c>
      <c r="AD185" s="517"/>
      <c r="AE185" s="504"/>
      <c r="AF185" s="461">
        <f>AD185*Payroll!$O$19/(50*5*8/12)</f>
        <v>0</v>
      </c>
      <c r="AG185" s="517"/>
      <c r="AH185" s="504"/>
      <c r="AI185" s="461">
        <f>AG185*Payroll!$O$19/(50*5*8/12)</f>
        <v>0</v>
      </c>
      <c r="AJ185" s="517"/>
      <c r="AK185" s="504"/>
      <c r="AL185" s="461">
        <f>AJ185*Payroll!$O$19/(50*5*8/12)</f>
        <v>0</v>
      </c>
    </row>
    <row r="186" spans="1:41" x14ac:dyDescent="0.35">
      <c r="A186" s="471">
        <f t="shared" ref="A186:A187" si="10">SUM(E186,H186,K186,N186,Q186,T186,W186,Z186,AC186,AF186,AI186,AL186)</f>
        <v>0</v>
      </c>
      <c r="B186" s="506">
        <f>Payroll!B155</f>
        <v>0</v>
      </c>
      <c r="C186" s="517"/>
      <c r="D186" s="504"/>
      <c r="E186" s="461">
        <f>C186*Payroll!$O$19/(50*5*8/12)</f>
        <v>0</v>
      </c>
      <c r="F186" s="517"/>
      <c r="G186" s="504"/>
      <c r="H186" s="461">
        <f>F186*Payroll!$O$19/(50*5*8/12)</f>
        <v>0</v>
      </c>
      <c r="I186" s="517"/>
      <c r="J186" s="504"/>
      <c r="K186" s="461">
        <f>I186*Payroll!$O$19/(50*5*8/12)</f>
        <v>0</v>
      </c>
      <c r="L186" s="517"/>
      <c r="M186" s="504"/>
      <c r="N186" s="461">
        <f>L186*Payroll!$O$19/(50*5*8/12)</f>
        <v>0</v>
      </c>
      <c r="O186" s="517"/>
      <c r="P186" s="504"/>
      <c r="Q186" s="461">
        <f>O186*Payroll!$O$19/(50*5*8/12)</f>
        <v>0</v>
      </c>
      <c r="R186" s="517"/>
      <c r="S186" s="504"/>
      <c r="T186" s="461">
        <f>R186*Payroll!$O$19/(50*5*8/12)</f>
        <v>0</v>
      </c>
      <c r="U186" s="517"/>
      <c r="V186" s="504"/>
      <c r="W186" s="461">
        <f>U186*Payroll!$O$19/(50*5*8/12)</f>
        <v>0</v>
      </c>
      <c r="X186" s="517"/>
      <c r="Y186" s="504"/>
      <c r="Z186" s="461">
        <f>X186*Payroll!$O$19/(50*5*8/12)</f>
        <v>0</v>
      </c>
      <c r="AA186" s="517"/>
      <c r="AB186" s="504"/>
      <c r="AC186" s="461">
        <f>AA186*Payroll!$O$19/(50*5*8/12)</f>
        <v>0</v>
      </c>
      <c r="AD186" s="517"/>
      <c r="AE186" s="504"/>
      <c r="AF186" s="461">
        <f>AD186*Payroll!$O$19/(50*5*8/12)</f>
        <v>0</v>
      </c>
      <c r="AG186" s="517"/>
      <c r="AH186" s="504"/>
      <c r="AI186" s="461">
        <f>AG186*Payroll!$O$19/(50*5*8/12)</f>
        <v>0</v>
      </c>
      <c r="AJ186" s="517"/>
      <c r="AK186" s="504"/>
      <c r="AL186" s="461">
        <f>AJ186*Payroll!$O$19/(50*5*8/12)</f>
        <v>0</v>
      </c>
    </row>
    <row r="187" spans="1:41" x14ac:dyDescent="0.35">
      <c r="A187" s="471">
        <f t="shared" si="10"/>
        <v>0</v>
      </c>
      <c r="B187" s="506">
        <f>Payroll!B156</f>
        <v>0</v>
      </c>
      <c r="C187" s="517"/>
      <c r="D187" s="504"/>
      <c r="E187" s="461">
        <f>C187*Payroll!$O$19/(50*5*8/12)</f>
        <v>0</v>
      </c>
      <c r="F187" s="517"/>
      <c r="G187" s="504"/>
      <c r="H187" s="461">
        <f>F187*Payroll!$O$19/(50*5*8/12)</f>
        <v>0</v>
      </c>
      <c r="I187" s="517"/>
      <c r="J187" s="504"/>
      <c r="K187" s="461">
        <f>I187*Payroll!$O$19/(50*5*8/12)</f>
        <v>0</v>
      </c>
      <c r="L187" s="517"/>
      <c r="M187" s="504"/>
      <c r="N187" s="461">
        <f>L187*Payroll!$O$19/(50*5*8/12)</f>
        <v>0</v>
      </c>
      <c r="O187" s="517"/>
      <c r="P187" s="504"/>
      <c r="Q187" s="461">
        <f>O187*Payroll!$O$19/(50*5*8/12)</f>
        <v>0</v>
      </c>
      <c r="R187" s="517"/>
      <c r="S187" s="504"/>
      <c r="T187" s="461">
        <f>R187*Payroll!$O$19/(50*5*8/12)</f>
        <v>0</v>
      </c>
      <c r="U187" s="517"/>
      <c r="V187" s="504"/>
      <c r="W187" s="461">
        <f>U187*Payroll!$O$19/(50*5*8/12)</f>
        <v>0</v>
      </c>
      <c r="X187" s="517"/>
      <c r="Y187" s="504"/>
      <c r="Z187" s="461">
        <f>X187*Payroll!$O$19/(50*5*8/12)</f>
        <v>0</v>
      </c>
      <c r="AA187" s="517"/>
      <c r="AB187" s="504"/>
      <c r="AC187" s="461">
        <f>AA187*Payroll!$O$19/(50*5*8/12)</f>
        <v>0</v>
      </c>
      <c r="AD187" s="517"/>
      <c r="AE187" s="504"/>
      <c r="AF187" s="461">
        <f>AD187*Payroll!$O$19/(50*5*8/12)</f>
        <v>0</v>
      </c>
      <c r="AG187" s="517"/>
      <c r="AH187" s="504"/>
      <c r="AI187" s="461">
        <f>AG187*Payroll!$O$19/(50*5*8/12)</f>
        <v>0</v>
      </c>
      <c r="AJ187" s="517"/>
      <c r="AK187" s="504"/>
      <c r="AL187" s="461">
        <f>AJ187*Payroll!$O$19/(50*5*8/12)</f>
        <v>0</v>
      </c>
    </row>
    <row r="188" spans="1:41" x14ac:dyDescent="0.35">
      <c r="A188" s="469">
        <f>SUM(E188,H188,K188,N188,Q188,T188,W188,Z188,AC188,AF188,AI188,AL188)</f>
        <v>98616.960000000006</v>
      </c>
      <c r="B188" s="509" t="s">
        <v>702</v>
      </c>
      <c r="C188" s="516">
        <f>SUM(C181:C185)</f>
        <v>240</v>
      </c>
      <c r="D188" s="511"/>
      <c r="E188" s="510">
        <f>SUM(E181:E187)</f>
        <v>8218.08</v>
      </c>
      <c r="F188" s="516">
        <f>SUM(F181:F185)</f>
        <v>240</v>
      </c>
      <c r="G188" s="511"/>
      <c r="H188" s="510">
        <f>SUM(H181:H187)</f>
        <v>8218.08</v>
      </c>
      <c r="I188" s="516">
        <f>SUM(I181:I185)</f>
        <v>240</v>
      </c>
      <c r="J188" s="511"/>
      <c r="K188" s="510">
        <f>SUM(K181:K187)</f>
        <v>8218.08</v>
      </c>
      <c r="L188" s="516">
        <f>SUM(L181:L185)</f>
        <v>240</v>
      </c>
      <c r="M188" s="511"/>
      <c r="N188" s="510">
        <f>SUM(N181:N187)</f>
        <v>8218.08</v>
      </c>
      <c r="O188" s="516">
        <f>SUM(O181:O185)</f>
        <v>240</v>
      </c>
      <c r="P188" s="511"/>
      <c r="Q188" s="510">
        <f>SUM(Q181:Q187)</f>
        <v>8218.08</v>
      </c>
      <c r="R188" s="516">
        <f>SUM(R181:R185)</f>
        <v>240</v>
      </c>
      <c r="S188" s="511"/>
      <c r="T188" s="510">
        <f>SUM(T181:T187)</f>
        <v>8218.08</v>
      </c>
      <c r="U188" s="516">
        <f>SUM(U181:U185)</f>
        <v>240</v>
      </c>
      <c r="V188" s="511"/>
      <c r="W188" s="510">
        <f>SUM(W181:W187)</f>
        <v>8218.08</v>
      </c>
      <c r="X188" s="516">
        <f>SUM(X181:X185)</f>
        <v>240</v>
      </c>
      <c r="Y188" s="511"/>
      <c r="Z188" s="510">
        <f>SUM(Z181:Z187)</f>
        <v>8218.08</v>
      </c>
      <c r="AA188" s="516">
        <f>SUM(AA181:AA185)</f>
        <v>240</v>
      </c>
      <c r="AB188" s="511"/>
      <c r="AC188" s="510">
        <f>SUM(AC181:AC187)</f>
        <v>8218.08</v>
      </c>
      <c r="AD188" s="516">
        <f>SUM(AD181:AD185)</f>
        <v>240</v>
      </c>
      <c r="AE188" s="511"/>
      <c r="AF188" s="510">
        <f>SUM(AF181:AF187)</f>
        <v>8218.08</v>
      </c>
      <c r="AG188" s="516">
        <f>SUM(AG181:AG185)</f>
        <v>240</v>
      </c>
      <c r="AH188" s="511"/>
      <c r="AI188" s="510">
        <f>SUM(AI181:AI187)</f>
        <v>8218.08</v>
      </c>
      <c r="AJ188" s="516">
        <f>SUM(AJ181:AJ185)</f>
        <v>240</v>
      </c>
      <c r="AK188" s="511"/>
      <c r="AL188" s="510">
        <f>SUM(AL181:AL187)</f>
        <v>8218.08</v>
      </c>
    </row>
    <row r="190" spans="1:41" x14ac:dyDescent="0.35">
      <c r="A190" s="507" t="s">
        <v>653</v>
      </c>
      <c r="B190" s="508" t="s">
        <v>703</v>
      </c>
      <c r="C190" s="544" t="s">
        <v>654</v>
      </c>
      <c r="D190" s="545"/>
      <c r="E190" s="477" t="s">
        <v>320</v>
      </c>
      <c r="F190" s="544" t="s">
        <v>654</v>
      </c>
      <c r="G190" s="545"/>
      <c r="H190" s="477" t="s">
        <v>320</v>
      </c>
      <c r="I190" s="544" t="s">
        <v>654</v>
      </c>
      <c r="J190" s="545"/>
      <c r="K190" s="477" t="s">
        <v>320</v>
      </c>
      <c r="L190" s="544" t="s">
        <v>654</v>
      </c>
      <c r="M190" s="545"/>
      <c r="N190" s="477" t="s">
        <v>320</v>
      </c>
      <c r="O190" s="544" t="s">
        <v>654</v>
      </c>
      <c r="P190" s="545"/>
      <c r="Q190" s="477" t="s">
        <v>320</v>
      </c>
      <c r="R190" s="544" t="s">
        <v>654</v>
      </c>
      <c r="S190" s="545"/>
      <c r="T190" s="477" t="s">
        <v>320</v>
      </c>
      <c r="U190" s="544" t="s">
        <v>654</v>
      </c>
      <c r="V190" s="545"/>
      <c r="W190" s="477" t="s">
        <v>320</v>
      </c>
      <c r="X190" s="544" t="s">
        <v>654</v>
      </c>
      <c r="Y190" s="545"/>
      <c r="Z190" s="477" t="s">
        <v>320</v>
      </c>
      <c r="AA190" s="544" t="s">
        <v>654</v>
      </c>
      <c r="AB190" s="545"/>
      <c r="AC190" s="477" t="s">
        <v>320</v>
      </c>
      <c r="AD190" s="544" t="s">
        <v>654</v>
      </c>
      <c r="AE190" s="545"/>
      <c r="AF190" s="477" t="s">
        <v>320</v>
      </c>
      <c r="AG190" s="544" t="s">
        <v>654</v>
      </c>
      <c r="AH190" s="545"/>
      <c r="AI190" s="477" t="s">
        <v>320</v>
      </c>
      <c r="AJ190" s="544" t="s">
        <v>654</v>
      </c>
      <c r="AK190" s="545"/>
      <c r="AL190" s="477" t="s">
        <v>320</v>
      </c>
    </row>
    <row r="191" spans="1:41" x14ac:dyDescent="0.35">
      <c r="A191" s="471">
        <f>SUM(E191,H191,K191,N191,Q191,T191,W191,Z191,AC191,AF191,AI191,AL191)</f>
        <v>2400</v>
      </c>
      <c r="B191" s="506" t="s">
        <v>639</v>
      </c>
      <c r="C191" s="541"/>
      <c r="D191" s="542"/>
      <c r="E191" s="518">
        <v>200</v>
      </c>
      <c r="F191" s="541"/>
      <c r="G191" s="542"/>
      <c r="H191" s="518">
        <v>200</v>
      </c>
      <c r="I191" s="541"/>
      <c r="J191" s="542"/>
      <c r="K191" s="518">
        <v>200</v>
      </c>
      <c r="L191" s="541"/>
      <c r="M191" s="542"/>
      <c r="N191" s="518">
        <v>200</v>
      </c>
      <c r="O191" s="541"/>
      <c r="P191" s="542"/>
      <c r="Q191" s="518">
        <v>200</v>
      </c>
      <c r="R191" s="541"/>
      <c r="S191" s="542"/>
      <c r="T191" s="518">
        <v>200</v>
      </c>
      <c r="U191" s="541"/>
      <c r="V191" s="542"/>
      <c r="W191" s="518">
        <v>200</v>
      </c>
      <c r="X191" s="541"/>
      <c r="Y191" s="542"/>
      <c r="Z191" s="518">
        <v>200</v>
      </c>
      <c r="AA191" s="541"/>
      <c r="AB191" s="542"/>
      <c r="AC191" s="518">
        <v>200</v>
      </c>
      <c r="AD191" s="541"/>
      <c r="AE191" s="542"/>
      <c r="AF191" s="518">
        <v>200</v>
      </c>
      <c r="AG191" s="541"/>
      <c r="AH191" s="542"/>
      <c r="AI191" s="518">
        <v>200</v>
      </c>
      <c r="AJ191" s="541"/>
      <c r="AK191" s="542"/>
      <c r="AL191" s="518">
        <v>200</v>
      </c>
    </row>
    <row r="192" spans="1:41" x14ac:dyDescent="0.35">
      <c r="A192" s="471">
        <f t="shared" ref="A192:A196" si="11">SUM(E192,H192,K192,N192,Q192,T192,W192,Z192,AC192,AF192,AI192,AL192)</f>
        <v>0</v>
      </c>
      <c r="B192" s="506" t="s">
        <v>640</v>
      </c>
      <c r="C192" s="541"/>
      <c r="D192" s="542"/>
      <c r="E192" s="518"/>
      <c r="F192" s="541"/>
      <c r="G192" s="542"/>
      <c r="H192" s="518"/>
      <c r="I192" s="541"/>
      <c r="J192" s="542"/>
      <c r="K192" s="518"/>
      <c r="L192" s="541"/>
      <c r="M192" s="542"/>
      <c r="N192" s="518"/>
      <c r="O192" s="541"/>
      <c r="P192" s="542"/>
      <c r="Q192" s="518"/>
      <c r="R192" s="541"/>
      <c r="S192" s="542"/>
      <c r="T192" s="518"/>
      <c r="U192" s="541"/>
      <c r="V192" s="542"/>
      <c r="W192" s="518"/>
      <c r="X192" s="541"/>
      <c r="Y192" s="542"/>
      <c r="Z192" s="518"/>
      <c r="AA192" s="541"/>
      <c r="AB192" s="542"/>
      <c r="AC192" s="518"/>
      <c r="AD192" s="541"/>
      <c r="AE192" s="542"/>
      <c r="AF192" s="518"/>
      <c r="AG192" s="541"/>
      <c r="AH192" s="542"/>
      <c r="AI192" s="518"/>
      <c r="AJ192" s="541"/>
      <c r="AK192" s="542"/>
      <c r="AL192" s="518"/>
    </row>
    <row r="193" spans="1:38" x14ac:dyDescent="0.35">
      <c r="A193" s="471">
        <f t="shared" si="11"/>
        <v>0</v>
      </c>
      <c r="B193" s="506" t="s">
        <v>641</v>
      </c>
      <c r="C193" s="541"/>
      <c r="D193" s="542"/>
      <c r="E193" s="518"/>
      <c r="F193" s="541"/>
      <c r="G193" s="542"/>
      <c r="H193" s="518"/>
      <c r="I193" s="541"/>
      <c r="J193" s="542"/>
      <c r="K193" s="518"/>
      <c r="L193" s="541"/>
      <c r="M193" s="542"/>
      <c r="N193" s="518"/>
      <c r="O193" s="541"/>
      <c r="P193" s="542"/>
      <c r="Q193" s="518"/>
      <c r="R193" s="541"/>
      <c r="S193" s="542"/>
      <c r="T193" s="518"/>
      <c r="U193" s="541"/>
      <c r="V193" s="542"/>
      <c r="W193" s="518"/>
      <c r="X193" s="541"/>
      <c r="Y193" s="542"/>
      <c r="Z193" s="518"/>
      <c r="AA193" s="541"/>
      <c r="AB193" s="542"/>
      <c r="AC193" s="518"/>
      <c r="AD193" s="541"/>
      <c r="AE193" s="542"/>
      <c r="AF193" s="518"/>
      <c r="AG193" s="541"/>
      <c r="AH193" s="542"/>
      <c r="AI193" s="518"/>
      <c r="AJ193" s="541"/>
      <c r="AK193" s="542"/>
      <c r="AL193" s="518"/>
    </row>
    <row r="194" spans="1:38" x14ac:dyDescent="0.35">
      <c r="A194" s="471">
        <f t="shared" si="11"/>
        <v>7200</v>
      </c>
      <c r="B194" s="506" t="s">
        <v>642</v>
      </c>
      <c r="C194" s="541"/>
      <c r="D194" s="542"/>
      <c r="E194" s="518">
        <v>600</v>
      </c>
      <c r="F194" s="543"/>
      <c r="G194" s="542"/>
      <c r="H194" s="518">
        <f>E194</f>
        <v>600</v>
      </c>
      <c r="I194" s="543"/>
      <c r="J194" s="542"/>
      <c r="K194" s="518">
        <f>H194</f>
        <v>600</v>
      </c>
      <c r="L194" s="543"/>
      <c r="M194" s="542"/>
      <c r="N194" s="518">
        <f>K194</f>
        <v>600</v>
      </c>
      <c r="O194" s="543"/>
      <c r="P194" s="542"/>
      <c r="Q194" s="518">
        <f>N194</f>
        <v>600</v>
      </c>
      <c r="R194" s="543"/>
      <c r="S194" s="542"/>
      <c r="T194" s="518">
        <f>Q194</f>
        <v>600</v>
      </c>
      <c r="U194" s="543"/>
      <c r="V194" s="542"/>
      <c r="W194" s="518">
        <f>T194</f>
        <v>600</v>
      </c>
      <c r="X194" s="543"/>
      <c r="Y194" s="542"/>
      <c r="Z194" s="518">
        <f>W194</f>
        <v>600</v>
      </c>
      <c r="AA194" s="543"/>
      <c r="AB194" s="542"/>
      <c r="AC194" s="518">
        <f>Z194</f>
        <v>600</v>
      </c>
      <c r="AD194" s="543"/>
      <c r="AE194" s="542"/>
      <c r="AF194" s="518">
        <f>AC194</f>
        <v>600</v>
      </c>
      <c r="AG194" s="543"/>
      <c r="AH194" s="542"/>
      <c r="AI194" s="518">
        <f>AF194</f>
        <v>600</v>
      </c>
      <c r="AJ194" s="543"/>
      <c r="AK194" s="542"/>
      <c r="AL194" s="518">
        <f>AI194</f>
        <v>600</v>
      </c>
    </row>
    <row r="195" spans="1:38" x14ac:dyDescent="0.35">
      <c r="A195" s="471">
        <f t="shared" si="11"/>
        <v>5000</v>
      </c>
      <c r="B195" s="506" t="s">
        <v>643</v>
      </c>
      <c r="C195" s="541"/>
      <c r="D195" s="542"/>
      <c r="E195" s="518">
        <f>(3000+2000)/12</f>
        <v>416.66666666666669</v>
      </c>
      <c r="F195" s="543"/>
      <c r="G195" s="542"/>
      <c r="H195" s="518">
        <f>$E195</f>
        <v>416.66666666666669</v>
      </c>
      <c r="I195" s="543"/>
      <c r="J195" s="542"/>
      <c r="K195" s="518">
        <f>$E195</f>
        <v>416.66666666666669</v>
      </c>
      <c r="L195" s="543"/>
      <c r="M195" s="542"/>
      <c r="N195" s="518">
        <f>$E195</f>
        <v>416.66666666666669</v>
      </c>
      <c r="O195" s="543"/>
      <c r="P195" s="542"/>
      <c r="Q195" s="518">
        <f>$E195</f>
        <v>416.66666666666669</v>
      </c>
      <c r="R195" s="543"/>
      <c r="S195" s="542"/>
      <c r="T195" s="518">
        <f>$E195</f>
        <v>416.66666666666669</v>
      </c>
      <c r="U195" s="543"/>
      <c r="V195" s="542"/>
      <c r="W195" s="518">
        <f>$E195</f>
        <v>416.66666666666669</v>
      </c>
      <c r="X195" s="543"/>
      <c r="Y195" s="542"/>
      <c r="Z195" s="518">
        <f>$E195</f>
        <v>416.66666666666669</v>
      </c>
      <c r="AA195" s="543"/>
      <c r="AB195" s="542"/>
      <c r="AC195" s="518">
        <f>$E195</f>
        <v>416.66666666666669</v>
      </c>
      <c r="AD195" s="543"/>
      <c r="AE195" s="542"/>
      <c r="AF195" s="518">
        <f>$E195</f>
        <v>416.66666666666669</v>
      </c>
      <c r="AG195" s="543"/>
      <c r="AH195" s="542"/>
      <c r="AI195" s="518">
        <f>$E195</f>
        <v>416.66666666666669</v>
      </c>
      <c r="AJ195" s="543"/>
      <c r="AK195" s="542"/>
      <c r="AL195" s="518">
        <f>$E195</f>
        <v>416.66666666666669</v>
      </c>
    </row>
    <row r="196" spans="1:38" x14ac:dyDescent="0.35">
      <c r="A196" s="471">
        <f t="shared" si="11"/>
        <v>6000</v>
      </c>
      <c r="B196" s="506" t="s">
        <v>644</v>
      </c>
      <c r="C196" s="541"/>
      <c r="D196" s="542"/>
      <c r="E196" s="518">
        <v>500</v>
      </c>
      <c r="F196" s="541"/>
      <c r="G196" s="542"/>
      <c r="H196" s="518">
        <v>500</v>
      </c>
      <c r="I196" s="541"/>
      <c r="J196" s="542"/>
      <c r="K196" s="518">
        <v>500</v>
      </c>
      <c r="L196" s="541"/>
      <c r="M196" s="542"/>
      <c r="N196" s="518">
        <v>500</v>
      </c>
      <c r="O196" s="541"/>
      <c r="P196" s="542"/>
      <c r="Q196" s="518">
        <v>500</v>
      </c>
      <c r="R196" s="541"/>
      <c r="S196" s="542"/>
      <c r="T196" s="518">
        <v>500</v>
      </c>
      <c r="U196" s="541"/>
      <c r="V196" s="542"/>
      <c r="W196" s="518">
        <v>500</v>
      </c>
      <c r="X196" s="541"/>
      <c r="Y196" s="542"/>
      <c r="Z196" s="518">
        <v>500</v>
      </c>
      <c r="AA196" s="541"/>
      <c r="AB196" s="542"/>
      <c r="AC196" s="518">
        <v>500</v>
      </c>
      <c r="AD196" s="541"/>
      <c r="AE196" s="542"/>
      <c r="AF196" s="518">
        <v>500</v>
      </c>
      <c r="AG196" s="541"/>
      <c r="AH196" s="542"/>
      <c r="AI196" s="518">
        <v>500</v>
      </c>
      <c r="AJ196" s="541"/>
      <c r="AK196" s="542"/>
      <c r="AL196" s="518">
        <v>500</v>
      </c>
    </row>
    <row r="197" spans="1:38" x14ac:dyDescent="0.35">
      <c r="A197" s="471"/>
      <c r="B197" s="506" t="s">
        <v>658</v>
      </c>
      <c r="C197" s="541"/>
      <c r="D197" s="542"/>
      <c r="E197" s="518">
        <v>750</v>
      </c>
      <c r="F197" s="543"/>
      <c r="G197" s="542"/>
      <c r="H197" s="518">
        <f>E197</f>
        <v>750</v>
      </c>
      <c r="I197" s="543"/>
      <c r="J197" s="542"/>
      <c r="K197" s="518">
        <f>H197</f>
        <v>750</v>
      </c>
      <c r="L197" s="543"/>
      <c r="M197" s="542"/>
      <c r="N197" s="518">
        <f>K197</f>
        <v>750</v>
      </c>
      <c r="O197" s="543"/>
      <c r="P197" s="542"/>
      <c r="Q197" s="518">
        <f>N197</f>
        <v>750</v>
      </c>
      <c r="R197" s="543"/>
      <c r="S197" s="542"/>
      <c r="T197" s="518">
        <f>Q197</f>
        <v>750</v>
      </c>
      <c r="U197" s="543"/>
      <c r="V197" s="542"/>
      <c r="W197" s="518">
        <f>T197</f>
        <v>750</v>
      </c>
      <c r="X197" s="543"/>
      <c r="Y197" s="542"/>
      <c r="Z197" s="518">
        <f>W197</f>
        <v>750</v>
      </c>
      <c r="AA197" s="543"/>
      <c r="AB197" s="542"/>
      <c r="AC197" s="518">
        <f>Z197</f>
        <v>750</v>
      </c>
      <c r="AD197" s="543"/>
      <c r="AE197" s="542"/>
      <c r="AF197" s="518">
        <f>AC197</f>
        <v>750</v>
      </c>
      <c r="AG197" s="543"/>
      <c r="AH197" s="542"/>
      <c r="AI197" s="518">
        <f>AF197</f>
        <v>750</v>
      </c>
      <c r="AJ197" s="543"/>
      <c r="AK197" s="542"/>
      <c r="AL197" s="518">
        <f>AI197</f>
        <v>750</v>
      </c>
    </row>
    <row r="198" spans="1:38" x14ac:dyDescent="0.35">
      <c r="A198" s="471">
        <f t="shared" ref="A198:A206" si="12">SUM(E198,H198,K198,N198,Q198,T198,W198,Z198,AC198,AF198,AI198,AL198)</f>
        <v>3050</v>
      </c>
      <c r="B198" s="506" t="s">
        <v>657</v>
      </c>
      <c r="C198" s="541"/>
      <c r="D198" s="542"/>
      <c r="E198" s="518">
        <f>1000+1000+250</f>
        <v>2250</v>
      </c>
      <c r="F198" s="541"/>
      <c r="G198" s="542"/>
      <c r="H198" s="518"/>
      <c r="I198" s="541"/>
      <c r="J198" s="542"/>
      <c r="K198" s="518">
        <v>200</v>
      </c>
      <c r="L198" s="541"/>
      <c r="M198" s="542"/>
      <c r="N198" s="518"/>
      <c r="O198" s="541"/>
      <c r="P198" s="542"/>
      <c r="Q198" s="518"/>
      <c r="R198" s="541"/>
      <c r="S198" s="542"/>
      <c r="T198" s="518">
        <v>200</v>
      </c>
      <c r="U198" s="541"/>
      <c r="V198" s="542"/>
      <c r="W198" s="518"/>
      <c r="X198" s="541"/>
      <c r="Y198" s="542"/>
      <c r="Z198" s="518"/>
      <c r="AA198" s="541"/>
      <c r="AB198" s="542"/>
      <c r="AC198" s="518">
        <v>200</v>
      </c>
      <c r="AD198" s="541"/>
      <c r="AE198" s="542"/>
      <c r="AF198" s="518"/>
      <c r="AG198" s="541"/>
      <c r="AH198" s="542"/>
      <c r="AI198" s="518"/>
      <c r="AJ198" s="541"/>
      <c r="AK198" s="542"/>
      <c r="AL198" s="518">
        <v>200</v>
      </c>
    </row>
    <row r="199" spans="1:38" x14ac:dyDescent="0.35">
      <c r="A199" s="471">
        <f t="shared" si="12"/>
        <v>1200</v>
      </c>
      <c r="B199" s="506" t="s">
        <v>645</v>
      </c>
      <c r="C199" s="541"/>
      <c r="D199" s="542"/>
      <c r="E199" s="518">
        <v>100</v>
      </c>
      <c r="F199" s="541"/>
      <c r="G199" s="542"/>
      <c r="H199" s="518">
        <v>100</v>
      </c>
      <c r="I199" s="541"/>
      <c r="J199" s="542"/>
      <c r="K199" s="518">
        <v>100</v>
      </c>
      <c r="L199" s="541"/>
      <c r="M199" s="542"/>
      <c r="N199" s="518">
        <v>100</v>
      </c>
      <c r="O199" s="541"/>
      <c r="P199" s="542"/>
      <c r="Q199" s="518">
        <v>100</v>
      </c>
      <c r="R199" s="541"/>
      <c r="S199" s="542"/>
      <c r="T199" s="518">
        <v>100</v>
      </c>
      <c r="U199" s="541"/>
      <c r="V199" s="542"/>
      <c r="W199" s="518">
        <v>100</v>
      </c>
      <c r="X199" s="541"/>
      <c r="Y199" s="542"/>
      <c r="Z199" s="518">
        <v>100</v>
      </c>
      <c r="AA199" s="541"/>
      <c r="AB199" s="542"/>
      <c r="AC199" s="518">
        <v>100</v>
      </c>
      <c r="AD199" s="541"/>
      <c r="AE199" s="542"/>
      <c r="AF199" s="518">
        <v>100</v>
      </c>
      <c r="AG199" s="541"/>
      <c r="AH199" s="542"/>
      <c r="AI199" s="518">
        <v>100</v>
      </c>
      <c r="AJ199" s="541"/>
      <c r="AK199" s="542"/>
      <c r="AL199" s="518">
        <v>100</v>
      </c>
    </row>
    <row r="200" spans="1:38" x14ac:dyDescent="0.35">
      <c r="A200" s="471">
        <f t="shared" si="12"/>
        <v>0</v>
      </c>
      <c r="B200" s="506" t="s">
        <v>646</v>
      </c>
      <c r="C200" s="541"/>
      <c r="D200" s="542"/>
      <c r="E200" s="518"/>
      <c r="F200" s="541"/>
      <c r="G200" s="542"/>
      <c r="H200" s="518"/>
      <c r="I200" s="541"/>
      <c r="J200" s="542"/>
      <c r="K200" s="518"/>
      <c r="L200" s="541"/>
      <c r="M200" s="542"/>
      <c r="N200" s="518"/>
      <c r="O200" s="541"/>
      <c r="P200" s="542"/>
      <c r="Q200" s="518"/>
      <c r="R200" s="541"/>
      <c r="S200" s="542"/>
      <c r="T200" s="518"/>
      <c r="U200" s="541"/>
      <c r="V200" s="542"/>
      <c r="W200" s="518"/>
      <c r="X200" s="541"/>
      <c r="Y200" s="542"/>
      <c r="Z200" s="518"/>
      <c r="AA200" s="541"/>
      <c r="AB200" s="542"/>
      <c r="AC200" s="518"/>
      <c r="AD200" s="541"/>
      <c r="AE200" s="542"/>
      <c r="AF200" s="518"/>
      <c r="AG200" s="541"/>
      <c r="AH200" s="542"/>
      <c r="AI200" s="518"/>
      <c r="AJ200" s="541"/>
      <c r="AK200" s="542"/>
      <c r="AL200" s="518"/>
    </row>
    <row r="201" spans="1:38" x14ac:dyDescent="0.35">
      <c r="A201" s="471">
        <f t="shared" si="12"/>
        <v>0</v>
      </c>
      <c r="B201" s="506" t="s">
        <v>647</v>
      </c>
      <c r="C201" s="541"/>
      <c r="D201" s="542"/>
      <c r="E201" s="518"/>
      <c r="F201" s="541"/>
      <c r="G201" s="542"/>
      <c r="H201" s="518"/>
      <c r="I201" s="541"/>
      <c r="J201" s="542"/>
      <c r="K201" s="518"/>
      <c r="L201" s="541"/>
      <c r="M201" s="542"/>
      <c r="N201" s="518"/>
      <c r="O201" s="541"/>
      <c r="P201" s="542"/>
      <c r="Q201" s="518"/>
      <c r="R201" s="541"/>
      <c r="S201" s="542"/>
      <c r="T201" s="518"/>
      <c r="U201" s="541"/>
      <c r="V201" s="542"/>
      <c r="W201" s="518"/>
      <c r="X201" s="541"/>
      <c r="Y201" s="542"/>
      <c r="Z201" s="518"/>
      <c r="AA201" s="541"/>
      <c r="AB201" s="542"/>
      <c r="AC201" s="518"/>
      <c r="AD201" s="541"/>
      <c r="AE201" s="542"/>
      <c r="AF201" s="518"/>
      <c r="AG201" s="541"/>
      <c r="AH201" s="542"/>
      <c r="AI201" s="518"/>
      <c r="AJ201" s="541"/>
      <c r="AK201" s="542"/>
      <c r="AL201" s="518"/>
    </row>
    <row r="202" spans="1:38" x14ac:dyDescent="0.35">
      <c r="A202" s="471">
        <f t="shared" si="12"/>
        <v>2400</v>
      </c>
      <c r="B202" s="506" t="s">
        <v>648</v>
      </c>
      <c r="C202" s="541"/>
      <c r="D202" s="542"/>
      <c r="E202" s="518">
        <v>200</v>
      </c>
      <c r="F202" s="541"/>
      <c r="G202" s="542"/>
      <c r="H202" s="518">
        <v>200</v>
      </c>
      <c r="I202" s="541"/>
      <c r="J202" s="542"/>
      <c r="K202" s="518">
        <v>200</v>
      </c>
      <c r="L202" s="541"/>
      <c r="M202" s="542"/>
      <c r="N202" s="518">
        <v>200</v>
      </c>
      <c r="O202" s="541"/>
      <c r="P202" s="542"/>
      <c r="Q202" s="518">
        <v>200</v>
      </c>
      <c r="R202" s="541"/>
      <c r="S202" s="542"/>
      <c r="T202" s="518">
        <v>200</v>
      </c>
      <c r="U202" s="541"/>
      <c r="V202" s="542"/>
      <c r="W202" s="518">
        <v>200</v>
      </c>
      <c r="X202" s="541"/>
      <c r="Y202" s="542"/>
      <c r="Z202" s="518">
        <v>200</v>
      </c>
      <c r="AA202" s="541"/>
      <c r="AB202" s="542"/>
      <c r="AC202" s="518">
        <v>200</v>
      </c>
      <c r="AD202" s="541"/>
      <c r="AE202" s="542"/>
      <c r="AF202" s="518">
        <v>200</v>
      </c>
      <c r="AG202" s="541"/>
      <c r="AH202" s="542"/>
      <c r="AI202" s="518">
        <v>200</v>
      </c>
      <c r="AJ202" s="541"/>
      <c r="AK202" s="542"/>
      <c r="AL202" s="518">
        <v>200</v>
      </c>
    </row>
    <row r="203" spans="1:38" x14ac:dyDescent="0.35">
      <c r="A203" s="471">
        <f t="shared" si="12"/>
        <v>3600</v>
      </c>
      <c r="B203" s="506" t="s">
        <v>649</v>
      </c>
      <c r="C203" s="541"/>
      <c r="D203" s="542"/>
      <c r="E203" s="518">
        <v>300</v>
      </c>
      <c r="F203" s="541"/>
      <c r="G203" s="542"/>
      <c r="H203" s="518">
        <v>300</v>
      </c>
      <c r="I203" s="541"/>
      <c r="J203" s="542"/>
      <c r="K203" s="518">
        <v>300</v>
      </c>
      <c r="L203" s="541"/>
      <c r="M203" s="542"/>
      <c r="N203" s="518">
        <v>300</v>
      </c>
      <c r="O203" s="541"/>
      <c r="P203" s="542"/>
      <c r="Q203" s="518">
        <v>300</v>
      </c>
      <c r="R203" s="541"/>
      <c r="S203" s="542"/>
      <c r="T203" s="518">
        <v>300</v>
      </c>
      <c r="U203" s="541"/>
      <c r="V203" s="542"/>
      <c r="W203" s="518">
        <v>300</v>
      </c>
      <c r="X203" s="541"/>
      <c r="Y203" s="542"/>
      <c r="Z203" s="518">
        <v>300</v>
      </c>
      <c r="AA203" s="541"/>
      <c r="AB203" s="542"/>
      <c r="AC203" s="518">
        <v>300</v>
      </c>
      <c r="AD203" s="541"/>
      <c r="AE203" s="542"/>
      <c r="AF203" s="518">
        <v>300</v>
      </c>
      <c r="AG203" s="541"/>
      <c r="AH203" s="542"/>
      <c r="AI203" s="518">
        <v>300</v>
      </c>
      <c r="AJ203" s="541"/>
      <c r="AK203" s="542"/>
      <c r="AL203" s="518">
        <v>300</v>
      </c>
    </row>
    <row r="204" spans="1:38" x14ac:dyDescent="0.35">
      <c r="A204" s="471">
        <f t="shared" si="12"/>
        <v>0</v>
      </c>
      <c r="B204" s="506" t="s">
        <v>650</v>
      </c>
      <c r="C204" s="541"/>
      <c r="D204" s="542"/>
      <c r="E204" s="518"/>
      <c r="F204" s="541"/>
      <c r="G204" s="542"/>
      <c r="H204" s="518"/>
      <c r="I204" s="541"/>
      <c r="J204" s="542"/>
      <c r="K204" s="518"/>
      <c r="L204" s="541"/>
      <c r="M204" s="542"/>
      <c r="N204" s="518"/>
      <c r="O204" s="541"/>
      <c r="P204" s="542"/>
      <c r="Q204" s="518"/>
      <c r="R204" s="541"/>
      <c r="S204" s="542"/>
      <c r="T204" s="518"/>
      <c r="U204" s="541"/>
      <c r="V204" s="542"/>
      <c r="W204" s="518"/>
      <c r="X204" s="541"/>
      <c r="Y204" s="542"/>
      <c r="Z204" s="518"/>
      <c r="AA204" s="541"/>
      <c r="AB204" s="542"/>
      <c r="AC204" s="518"/>
      <c r="AD204" s="541"/>
      <c r="AE204" s="542"/>
      <c r="AF204" s="518"/>
      <c r="AG204" s="541"/>
      <c r="AH204" s="542"/>
      <c r="AI204" s="518"/>
      <c r="AJ204" s="541"/>
      <c r="AK204" s="542"/>
      <c r="AL204" s="518"/>
    </row>
    <row r="205" spans="1:38" x14ac:dyDescent="0.35">
      <c r="A205" s="471">
        <f t="shared" si="12"/>
        <v>14520</v>
      </c>
      <c r="B205" s="506" t="s">
        <v>651</v>
      </c>
      <c r="C205" s="541"/>
      <c r="D205" s="542"/>
      <c r="E205" s="518">
        <f>(150+250)+(1350*0.6)</f>
        <v>1210</v>
      </c>
      <c r="F205" s="543"/>
      <c r="G205" s="542"/>
      <c r="H205" s="518">
        <f>E205</f>
        <v>1210</v>
      </c>
      <c r="I205" s="543"/>
      <c r="J205" s="542"/>
      <c r="K205" s="518">
        <f>H205</f>
        <v>1210</v>
      </c>
      <c r="L205" s="543"/>
      <c r="M205" s="542"/>
      <c r="N205" s="518">
        <f>K205</f>
        <v>1210</v>
      </c>
      <c r="O205" s="543"/>
      <c r="P205" s="542"/>
      <c r="Q205" s="518">
        <f>N205</f>
        <v>1210</v>
      </c>
      <c r="R205" s="543"/>
      <c r="S205" s="542"/>
      <c r="T205" s="518">
        <f>Q205</f>
        <v>1210</v>
      </c>
      <c r="U205" s="543"/>
      <c r="V205" s="542"/>
      <c r="W205" s="518">
        <f>T205</f>
        <v>1210</v>
      </c>
      <c r="X205" s="543"/>
      <c r="Y205" s="542"/>
      <c r="Z205" s="518">
        <f>W205</f>
        <v>1210</v>
      </c>
      <c r="AA205" s="543"/>
      <c r="AB205" s="542"/>
      <c r="AC205" s="518">
        <f>Z205</f>
        <v>1210</v>
      </c>
      <c r="AD205" s="543"/>
      <c r="AE205" s="542"/>
      <c r="AF205" s="518">
        <f>AC205</f>
        <v>1210</v>
      </c>
      <c r="AG205" s="543"/>
      <c r="AH205" s="542"/>
      <c r="AI205" s="518">
        <f>AF205</f>
        <v>1210</v>
      </c>
      <c r="AJ205" s="543"/>
      <c r="AK205" s="542"/>
      <c r="AL205" s="518">
        <f>AI205</f>
        <v>1210</v>
      </c>
    </row>
    <row r="206" spans="1:38" x14ac:dyDescent="0.35">
      <c r="A206" s="471">
        <f t="shared" si="12"/>
        <v>6000</v>
      </c>
      <c r="B206" s="506" t="s">
        <v>652</v>
      </c>
      <c r="C206" s="541"/>
      <c r="D206" s="542"/>
      <c r="E206" s="518">
        <v>500</v>
      </c>
      <c r="F206" s="541"/>
      <c r="G206" s="542"/>
      <c r="H206" s="518">
        <v>500</v>
      </c>
      <c r="I206" s="541"/>
      <c r="J206" s="542"/>
      <c r="K206" s="518">
        <v>500</v>
      </c>
      <c r="L206" s="541"/>
      <c r="M206" s="542"/>
      <c r="N206" s="518">
        <v>500</v>
      </c>
      <c r="O206" s="541"/>
      <c r="P206" s="542"/>
      <c r="Q206" s="518">
        <v>500</v>
      </c>
      <c r="R206" s="541"/>
      <c r="S206" s="542"/>
      <c r="T206" s="518">
        <v>500</v>
      </c>
      <c r="U206" s="541"/>
      <c r="V206" s="542"/>
      <c r="W206" s="518">
        <v>500</v>
      </c>
      <c r="X206" s="541"/>
      <c r="Y206" s="542"/>
      <c r="Z206" s="518">
        <v>500</v>
      </c>
      <c r="AA206" s="541"/>
      <c r="AB206" s="542"/>
      <c r="AC206" s="518">
        <v>500</v>
      </c>
      <c r="AD206" s="541"/>
      <c r="AE206" s="542"/>
      <c r="AF206" s="518">
        <v>500</v>
      </c>
      <c r="AG206" s="541"/>
      <c r="AH206" s="542"/>
      <c r="AI206" s="518">
        <v>500</v>
      </c>
      <c r="AJ206" s="541"/>
      <c r="AK206" s="542"/>
      <c r="AL206" s="518">
        <v>500</v>
      </c>
    </row>
    <row r="207" spans="1:38" x14ac:dyDescent="0.35">
      <c r="A207" s="471"/>
      <c r="B207" s="506" t="s">
        <v>655</v>
      </c>
      <c r="C207" s="541"/>
      <c r="D207" s="542"/>
      <c r="E207" s="518"/>
      <c r="F207" s="541"/>
      <c r="G207" s="542"/>
      <c r="H207" s="518"/>
      <c r="I207" s="541"/>
      <c r="J207" s="542"/>
      <c r="K207" s="518"/>
      <c r="L207" s="541"/>
      <c r="M207" s="542"/>
      <c r="N207" s="518"/>
      <c r="O207" s="541"/>
      <c r="P207" s="542"/>
      <c r="Q207" s="518"/>
      <c r="R207" s="541"/>
      <c r="S207" s="542"/>
      <c r="T207" s="518"/>
      <c r="U207" s="541"/>
      <c r="V207" s="542"/>
      <c r="W207" s="518"/>
      <c r="X207" s="541"/>
      <c r="Y207" s="542"/>
      <c r="Z207" s="518"/>
      <c r="AA207" s="541"/>
      <c r="AB207" s="542"/>
      <c r="AC207" s="518"/>
      <c r="AD207" s="541"/>
      <c r="AE207" s="542"/>
      <c r="AF207" s="518"/>
      <c r="AG207" s="541"/>
      <c r="AH207" s="542"/>
      <c r="AI207" s="518"/>
      <c r="AJ207" s="541"/>
      <c r="AK207" s="542"/>
      <c r="AL207" s="518"/>
    </row>
    <row r="208" spans="1:38" x14ac:dyDescent="0.35">
      <c r="A208" s="471"/>
      <c r="B208" s="506" t="s">
        <v>656</v>
      </c>
      <c r="C208" s="541"/>
      <c r="D208" s="542"/>
      <c r="E208" s="518"/>
      <c r="F208" s="541"/>
      <c r="G208" s="542"/>
      <c r="H208" s="518"/>
      <c r="I208" s="541"/>
      <c r="J208" s="542"/>
      <c r="K208" s="518"/>
      <c r="L208" s="541"/>
      <c r="M208" s="542"/>
      <c r="N208" s="518"/>
      <c r="O208" s="541"/>
      <c r="P208" s="542"/>
      <c r="Q208" s="518"/>
      <c r="R208" s="541"/>
      <c r="S208" s="542"/>
      <c r="T208" s="518"/>
      <c r="U208" s="541"/>
      <c r="V208" s="542"/>
      <c r="W208" s="518"/>
      <c r="X208" s="541"/>
      <c r="Y208" s="542"/>
      <c r="Z208" s="518"/>
      <c r="AA208" s="541"/>
      <c r="AB208" s="542"/>
      <c r="AC208" s="518"/>
      <c r="AD208" s="541"/>
      <c r="AE208" s="542"/>
      <c r="AF208" s="518"/>
      <c r="AG208" s="541"/>
      <c r="AH208" s="542"/>
      <c r="AI208" s="518"/>
      <c r="AJ208" s="541"/>
      <c r="AK208" s="542"/>
      <c r="AL208" s="518"/>
    </row>
    <row r="209" spans="1:41" s="110" customFormat="1" x14ac:dyDescent="0.35">
      <c r="A209" s="469">
        <f>SUM(E209,H209,K209,N209,Q209,T209,W209,Z209,AC209,AF209,AI209,AL209)</f>
        <v>60369.999999999993</v>
      </c>
      <c r="B209" s="509" t="s">
        <v>704</v>
      </c>
      <c r="C209" s="539"/>
      <c r="D209" s="540"/>
      <c r="E209" s="510">
        <f>SUM(E191:E208)</f>
        <v>7026.666666666667</v>
      </c>
      <c r="F209" s="539"/>
      <c r="G209" s="540"/>
      <c r="H209" s="510">
        <f>SUM(H191:H208)</f>
        <v>4776.666666666667</v>
      </c>
      <c r="I209" s="539"/>
      <c r="J209" s="540"/>
      <c r="K209" s="510">
        <f>SUM(K191:K208)</f>
        <v>4976.666666666667</v>
      </c>
      <c r="L209" s="539"/>
      <c r="M209" s="540"/>
      <c r="N209" s="510">
        <f>SUM(N191:N208)</f>
        <v>4776.666666666667</v>
      </c>
      <c r="O209" s="539"/>
      <c r="P209" s="540"/>
      <c r="Q209" s="510">
        <f>SUM(Q191:Q208)</f>
        <v>4776.666666666667</v>
      </c>
      <c r="R209" s="539"/>
      <c r="S209" s="540"/>
      <c r="T209" s="510">
        <f>SUM(T191:T208)</f>
        <v>4976.666666666667</v>
      </c>
      <c r="U209" s="539"/>
      <c r="V209" s="540"/>
      <c r="W209" s="510">
        <f>SUM(W191:W208)</f>
        <v>4776.666666666667</v>
      </c>
      <c r="X209" s="539"/>
      <c r="Y209" s="540"/>
      <c r="Z209" s="510">
        <f>SUM(Z191:Z208)</f>
        <v>4776.666666666667</v>
      </c>
      <c r="AA209" s="539"/>
      <c r="AB209" s="540"/>
      <c r="AC209" s="510">
        <f>SUM(AC191:AC208)</f>
        <v>4976.666666666667</v>
      </c>
      <c r="AD209" s="539"/>
      <c r="AE209" s="540"/>
      <c r="AF209" s="510">
        <f>SUM(AF191:AF208)</f>
        <v>4776.666666666667</v>
      </c>
      <c r="AG209" s="539"/>
      <c r="AH209" s="540"/>
      <c r="AI209" s="510">
        <f>SUM(AI191:AI208)</f>
        <v>4776.666666666667</v>
      </c>
      <c r="AJ209" s="539"/>
      <c r="AK209" s="540"/>
      <c r="AL209" s="510">
        <f>SUM(AL191:AL208)</f>
        <v>4976.666666666667</v>
      </c>
    </row>
    <row r="211" spans="1:41" x14ac:dyDescent="0.35">
      <c r="A211" s="469">
        <f>SUM(E211,H211,K211,N211,Q211,T211,W211,Z211,AC211,AF211,AI211,AL211)</f>
        <v>47747.106000000007</v>
      </c>
      <c r="B211" s="509" t="s">
        <v>666</v>
      </c>
      <c r="C211" s="539"/>
      <c r="D211" s="540"/>
      <c r="E211" s="510">
        <f>E178</f>
        <v>3973.8293333333331</v>
      </c>
      <c r="F211" s="539"/>
      <c r="G211" s="540"/>
      <c r="H211" s="510">
        <f>H178</f>
        <v>3973.8293333333331</v>
      </c>
      <c r="I211" s="539"/>
      <c r="J211" s="540"/>
      <c r="K211" s="510">
        <f>K178</f>
        <v>3973.8293333333331</v>
      </c>
      <c r="L211" s="539"/>
      <c r="M211" s="540"/>
      <c r="N211" s="510">
        <f>N178</f>
        <v>4453.8293333333331</v>
      </c>
      <c r="O211" s="539"/>
      <c r="P211" s="540"/>
      <c r="Q211" s="510">
        <f>Q178</f>
        <v>4453.8293333333331</v>
      </c>
      <c r="R211" s="539"/>
      <c r="S211" s="540"/>
      <c r="T211" s="510">
        <f>T178</f>
        <v>4844.4063333333334</v>
      </c>
      <c r="U211" s="539"/>
      <c r="V211" s="540"/>
      <c r="W211" s="510">
        <f>W178</f>
        <v>4604.4063333333334</v>
      </c>
      <c r="X211" s="539"/>
      <c r="Y211" s="540"/>
      <c r="Z211" s="510">
        <f>Z178</f>
        <v>3493.8293333333331</v>
      </c>
      <c r="AA211" s="539"/>
      <c r="AB211" s="540"/>
      <c r="AC211" s="510">
        <f>AC178</f>
        <v>3493.8293333333331</v>
      </c>
      <c r="AD211" s="539"/>
      <c r="AE211" s="540"/>
      <c r="AF211" s="510">
        <f>AF178</f>
        <v>3493.8293333333331</v>
      </c>
      <c r="AG211" s="539"/>
      <c r="AH211" s="540"/>
      <c r="AI211" s="510">
        <f>AI178</f>
        <v>3493.8293333333331</v>
      </c>
      <c r="AJ211" s="539"/>
      <c r="AK211" s="540"/>
      <c r="AL211" s="510">
        <f>AL178</f>
        <v>3493.8293333333331</v>
      </c>
    </row>
    <row r="212" spans="1:41" x14ac:dyDescent="0.35">
      <c r="A212" s="469">
        <f>SUM(E212,H212,K212,N212,Q212,T212,W212,Z212,AC212,AF212,AI212,AL212)</f>
        <v>158986.96000000005</v>
      </c>
      <c r="B212" s="509" t="s">
        <v>667</v>
      </c>
      <c r="C212" s="539"/>
      <c r="D212" s="540"/>
      <c r="E212" s="510">
        <f>E188+E209</f>
        <v>15244.746666666666</v>
      </c>
      <c r="F212" s="539"/>
      <c r="G212" s="540"/>
      <c r="H212" s="510">
        <f>H188+H209</f>
        <v>12994.746666666666</v>
      </c>
      <c r="I212" s="539"/>
      <c r="J212" s="540"/>
      <c r="K212" s="510">
        <f>K188+K209</f>
        <v>13194.746666666666</v>
      </c>
      <c r="L212" s="539"/>
      <c r="M212" s="540"/>
      <c r="N212" s="510">
        <f>N188+N209</f>
        <v>12994.746666666666</v>
      </c>
      <c r="O212" s="539"/>
      <c r="P212" s="540"/>
      <c r="Q212" s="510">
        <f>Q188+Q209</f>
        <v>12994.746666666666</v>
      </c>
      <c r="R212" s="539"/>
      <c r="S212" s="540"/>
      <c r="T212" s="510">
        <f>T188+T209</f>
        <v>13194.746666666666</v>
      </c>
      <c r="U212" s="539"/>
      <c r="V212" s="540"/>
      <c r="W212" s="510">
        <f>W188+W209</f>
        <v>12994.746666666666</v>
      </c>
      <c r="X212" s="539"/>
      <c r="Y212" s="540"/>
      <c r="Z212" s="510">
        <f>Z188+Z209</f>
        <v>12994.746666666666</v>
      </c>
      <c r="AA212" s="539"/>
      <c r="AB212" s="540"/>
      <c r="AC212" s="510">
        <f>AC188+AC209</f>
        <v>13194.746666666666</v>
      </c>
      <c r="AD212" s="539"/>
      <c r="AE212" s="540"/>
      <c r="AF212" s="510">
        <f>AF188+AF209</f>
        <v>12994.746666666666</v>
      </c>
      <c r="AG212" s="539"/>
      <c r="AH212" s="540"/>
      <c r="AI212" s="510">
        <f>AI188+AI209</f>
        <v>12994.746666666666</v>
      </c>
      <c r="AJ212" s="539"/>
      <c r="AK212" s="540"/>
      <c r="AL212" s="510">
        <f>AL188+AL209</f>
        <v>13194.746666666666</v>
      </c>
    </row>
    <row r="213" spans="1:41" x14ac:dyDescent="0.35">
      <c r="A213" s="469">
        <f>SUM(E213,H213,K213,N213,Q213,T213,W213,Z213,AC213,AF213,AI213,AL213)</f>
        <v>-111239.85399999999</v>
      </c>
      <c r="B213" s="509" t="s">
        <v>668</v>
      </c>
      <c r="C213" s="539"/>
      <c r="D213" s="540"/>
      <c r="E213" s="510">
        <f>E211-E212</f>
        <v>-11270.917333333333</v>
      </c>
      <c r="F213" s="539"/>
      <c r="G213" s="540"/>
      <c r="H213" s="510">
        <f>H211-H212</f>
        <v>-9020.9173333333329</v>
      </c>
      <c r="I213" s="539"/>
      <c r="J213" s="540"/>
      <c r="K213" s="510">
        <f>K211-K212</f>
        <v>-9220.9173333333329</v>
      </c>
      <c r="L213" s="539"/>
      <c r="M213" s="540"/>
      <c r="N213" s="510">
        <f>N211-N212</f>
        <v>-8540.9173333333329</v>
      </c>
      <c r="O213" s="539"/>
      <c r="P213" s="540"/>
      <c r="Q213" s="510">
        <f>Q211-Q212</f>
        <v>-8540.9173333333329</v>
      </c>
      <c r="R213" s="539"/>
      <c r="S213" s="540"/>
      <c r="T213" s="510">
        <f>T211-T212</f>
        <v>-8350.3403333333335</v>
      </c>
      <c r="U213" s="539"/>
      <c r="V213" s="540"/>
      <c r="W213" s="510">
        <f>W211-W212</f>
        <v>-8390.3403333333335</v>
      </c>
      <c r="X213" s="539"/>
      <c r="Y213" s="540"/>
      <c r="Z213" s="510">
        <f>Z211-Z212</f>
        <v>-9500.9173333333329</v>
      </c>
      <c r="AA213" s="539"/>
      <c r="AB213" s="540"/>
      <c r="AC213" s="510">
        <f>AC211-AC212</f>
        <v>-9700.9173333333329</v>
      </c>
      <c r="AD213" s="539"/>
      <c r="AE213" s="540"/>
      <c r="AF213" s="510">
        <f>AF211-AF212</f>
        <v>-9500.9173333333329</v>
      </c>
      <c r="AG213" s="539"/>
      <c r="AH213" s="540"/>
      <c r="AI213" s="510">
        <f>AI211-AI212</f>
        <v>-9500.9173333333329</v>
      </c>
      <c r="AJ213" s="539"/>
      <c r="AK213" s="540"/>
      <c r="AL213" s="510">
        <f>AL211-AL212</f>
        <v>-9700.9173333333329</v>
      </c>
    </row>
    <row r="215" spans="1:41" x14ac:dyDescent="0.35">
      <c r="A215" s="537" t="s">
        <v>525</v>
      </c>
      <c r="B215" s="537"/>
      <c r="C215" s="537"/>
      <c r="D215" s="537"/>
      <c r="E215" s="537"/>
      <c r="F215" s="537"/>
      <c r="G215" s="537"/>
      <c r="H215" s="537"/>
      <c r="I215" s="537"/>
      <c r="J215" s="537"/>
      <c r="K215" s="537"/>
      <c r="L215" s="537"/>
      <c r="M215" s="537"/>
      <c r="N215" s="537"/>
      <c r="O215" s="537"/>
      <c r="P215" s="537"/>
      <c r="Q215" s="537"/>
      <c r="R215" s="537"/>
      <c r="S215" s="537"/>
      <c r="T215" s="537"/>
      <c r="U215" s="537"/>
      <c r="V215" s="537"/>
      <c r="W215" s="537"/>
      <c r="X215" s="537"/>
      <c r="Y215" s="537"/>
      <c r="Z215" s="537"/>
      <c r="AA215" s="537"/>
      <c r="AB215" s="537"/>
      <c r="AC215" s="537"/>
      <c r="AD215" s="537"/>
      <c r="AE215" s="537"/>
      <c r="AF215" s="537"/>
      <c r="AG215" s="537"/>
      <c r="AH215" s="537"/>
      <c r="AI215" s="537"/>
      <c r="AJ215" s="537"/>
      <c r="AK215" s="537"/>
      <c r="AL215" s="538"/>
    </row>
    <row r="216" spans="1:41" x14ac:dyDescent="0.35">
      <c r="C216" s="462"/>
      <c r="D216" s="463" t="s">
        <v>510</v>
      </c>
      <c r="E216" s="464" t="s">
        <v>567</v>
      </c>
      <c r="F216" s="462"/>
      <c r="G216" s="463" t="s">
        <v>510</v>
      </c>
      <c r="H216" s="464" t="s">
        <v>568</v>
      </c>
      <c r="I216" s="462"/>
      <c r="J216" s="463" t="s">
        <v>510</v>
      </c>
      <c r="K216" s="464" t="s">
        <v>569</v>
      </c>
      <c r="L216" s="462"/>
      <c r="M216" s="463" t="s">
        <v>510</v>
      </c>
      <c r="N216" s="464" t="s">
        <v>570</v>
      </c>
      <c r="O216" s="462"/>
      <c r="P216" s="463" t="s">
        <v>510</v>
      </c>
      <c r="Q216" s="464" t="s">
        <v>571</v>
      </c>
      <c r="R216" s="462"/>
      <c r="S216" s="463" t="s">
        <v>510</v>
      </c>
      <c r="T216" s="464" t="s">
        <v>572</v>
      </c>
      <c r="U216" s="462"/>
      <c r="V216" s="463" t="s">
        <v>510</v>
      </c>
      <c r="W216" s="464" t="s">
        <v>573</v>
      </c>
      <c r="X216" s="462"/>
      <c r="Y216" s="463" t="s">
        <v>510</v>
      </c>
      <c r="Z216" s="464" t="s">
        <v>574</v>
      </c>
      <c r="AA216" s="462"/>
      <c r="AB216" s="463" t="s">
        <v>510</v>
      </c>
      <c r="AC216" s="464" t="s">
        <v>575</v>
      </c>
      <c r="AD216" s="462"/>
      <c r="AE216" s="463" t="s">
        <v>510</v>
      </c>
      <c r="AF216" s="464" t="s">
        <v>576</v>
      </c>
      <c r="AG216" s="462"/>
      <c r="AH216" s="463" t="s">
        <v>510</v>
      </c>
      <c r="AI216" s="464" t="s">
        <v>577</v>
      </c>
      <c r="AJ216" s="462"/>
      <c r="AK216" s="463" t="s">
        <v>510</v>
      </c>
      <c r="AL216" s="464" t="s">
        <v>578</v>
      </c>
      <c r="AN216" t="s">
        <v>739</v>
      </c>
      <c r="AO216" s="446">
        <f>SUM(A220:A227)</f>
        <v>18432</v>
      </c>
    </row>
    <row r="217" spans="1:41" x14ac:dyDescent="0.35">
      <c r="B217" s="110"/>
      <c r="C217" s="465"/>
      <c r="D217" s="170" t="s">
        <v>35</v>
      </c>
      <c r="E217" s="469">
        <f>SUM(E220:E242)</f>
        <v>4109.7440000000006</v>
      </c>
      <c r="F217" s="465"/>
      <c r="G217" s="170" t="s">
        <v>35</v>
      </c>
      <c r="H217" s="469">
        <f>SUM(H220:H242)</f>
        <v>4109.7440000000006</v>
      </c>
      <c r="I217" s="465"/>
      <c r="J217" s="170" t="s">
        <v>35</v>
      </c>
      <c r="K217" s="469">
        <f>SUM(K220:K242)</f>
        <v>4109.7440000000006</v>
      </c>
      <c r="L217" s="465"/>
      <c r="M217" s="170" t="s">
        <v>35</v>
      </c>
      <c r="N217" s="469">
        <f>SUM(N220:N242)</f>
        <v>4749.7440000000006</v>
      </c>
      <c r="O217" s="465"/>
      <c r="P217" s="170" t="s">
        <v>35</v>
      </c>
      <c r="Q217" s="469">
        <f>SUM(Q220:Q242)</f>
        <v>4749.7440000000006</v>
      </c>
      <c r="R217" s="465"/>
      <c r="S217" s="170" t="s">
        <v>35</v>
      </c>
      <c r="T217" s="469">
        <f>SUM(T220:T242)</f>
        <v>6010.8980000000001</v>
      </c>
      <c r="U217" s="465"/>
      <c r="V217" s="170" t="s">
        <v>35</v>
      </c>
      <c r="W217" s="469">
        <f>SUM(W220:W242)</f>
        <v>5770.8980000000001</v>
      </c>
      <c r="X217" s="465"/>
      <c r="Y217" s="170" t="s">
        <v>35</v>
      </c>
      <c r="Z217" s="469">
        <f>SUM(Z220:Z242)</f>
        <v>4029.7440000000001</v>
      </c>
      <c r="AA217" s="465"/>
      <c r="AB217" s="170" t="s">
        <v>35</v>
      </c>
      <c r="AC217" s="469">
        <f>SUM(AC220:AC242)</f>
        <v>4029.7440000000001</v>
      </c>
      <c r="AD217" s="465"/>
      <c r="AE217" s="170" t="s">
        <v>35</v>
      </c>
      <c r="AF217" s="469">
        <f>SUM(AF220:AF242)</f>
        <v>3629.7440000000001</v>
      </c>
      <c r="AG217" s="465"/>
      <c r="AH217" s="170" t="s">
        <v>35</v>
      </c>
      <c r="AI217" s="469">
        <f>SUM(AI220:AI242)</f>
        <v>3629.7440000000001</v>
      </c>
      <c r="AJ217" s="465"/>
      <c r="AK217" s="170" t="s">
        <v>35</v>
      </c>
      <c r="AL217" s="469">
        <f>SUM(AL220:AL242)</f>
        <v>3629.7440000000001</v>
      </c>
      <c r="AN217" s="114" t="s">
        <v>740</v>
      </c>
      <c r="AO217" s="446">
        <f>SUM(A236,A237,A238,A241)</f>
        <v>12122.308000000001</v>
      </c>
    </row>
    <row r="218" spans="1:41" x14ac:dyDescent="0.35">
      <c r="A218" s="474" t="s">
        <v>270</v>
      </c>
      <c r="B218" s="470"/>
      <c r="C218" s="546" t="s">
        <v>512</v>
      </c>
      <c r="D218" s="547"/>
      <c r="E218" s="548"/>
      <c r="F218" s="546" t="s">
        <v>512</v>
      </c>
      <c r="G218" s="547"/>
      <c r="H218" s="548"/>
      <c r="I218" s="546" t="s">
        <v>512</v>
      </c>
      <c r="J218" s="547"/>
      <c r="K218" s="548"/>
      <c r="L218" s="546" t="s">
        <v>512</v>
      </c>
      <c r="M218" s="547"/>
      <c r="N218" s="548"/>
      <c r="O218" s="546" t="s">
        <v>512</v>
      </c>
      <c r="P218" s="547"/>
      <c r="Q218" s="548"/>
      <c r="R218" s="546" t="s">
        <v>512</v>
      </c>
      <c r="S218" s="547"/>
      <c r="T218" s="548"/>
      <c r="U218" s="546" t="s">
        <v>512</v>
      </c>
      <c r="V218" s="547"/>
      <c r="W218" s="548"/>
      <c r="X218" s="546" t="s">
        <v>512</v>
      </c>
      <c r="Y218" s="547"/>
      <c r="Z218" s="548"/>
      <c r="AA218" s="546" t="s">
        <v>512</v>
      </c>
      <c r="AB218" s="547"/>
      <c r="AC218" s="548"/>
      <c r="AD218" s="546" t="s">
        <v>512</v>
      </c>
      <c r="AE218" s="547"/>
      <c r="AF218" s="548"/>
      <c r="AG218" s="546" t="s">
        <v>512</v>
      </c>
      <c r="AH218" s="547"/>
      <c r="AI218" s="548"/>
      <c r="AJ218" s="546" t="s">
        <v>512</v>
      </c>
      <c r="AK218" s="547"/>
      <c r="AL218" s="548"/>
      <c r="AN218" s="114" t="s">
        <v>741</v>
      </c>
      <c r="AO218" s="446">
        <f>SUM(A228:A235)</f>
        <v>13080</v>
      </c>
    </row>
    <row r="219" spans="1:41" x14ac:dyDescent="0.35">
      <c r="A219" s="471">
        <f>SUM(A220:A242)</f>
        <v>52559.235999999997</v>
      </c>
      <c r="B219" s="473" t="s">
        <v>705</v>
      </c>
      <c r="C219" s="466" t="s">
        <v>509</v>
      </c>
      <c r="D219" s="467" t="s">
        <v>15</v>
      </c>
      <c r="E219" s="468" t="s">
        <v>368</v>
      </c>
      <c r="F219" s="466" t="s">
        <v>509</v>
      </c>
      <c r="G219" s="467" t="s">
        <v>15</v>
      </c>
      <c r="H219" s="468" t="s">
        <v>368</v>
      </c>
      <c r="I219" s="466" t="s">
        <v>509</v>
      </c>
      <c r="J219" s="467" t="s">
        <v>15</v>
      </c>
      <c r="K219" s="468" t="s">
        <v>368</v>
      </c>
      <c r="L219" s="466" t="s">
        <v>509</v>
      </c>
      <c r="M219" s="467" t="s">
        <v>15</v>
      </c>
      <c r="N219" s="468" t="s">
        <v>368</v>
      </c>
      <c r="O219" s="466" t="s">
        <v>509</v>
      </c>
      <c r="P219" s="467" t="s">
        <v>15</v>
      </c>
      <c r="Q219" s="468" t="s">
        <v>368</v>
      </c>
      <c r="R219" s="466" t="s">
        <v>509</v>
      </c>
      <c r="S219" s="467" t="s">
        <v>15</v>
      </c>
      <c r="T219" s="468" t="s">
        <v>368</v>
      </c>
      <c r="U219" s="466" t="s">
        <v>509</v>
      </c>
      <c r="V219" s="467" t="s">
        <v>15</v>
      </c>
      <c r="W219" s="468" t="s">
        <v>368</v>
      </c>
      <c r="X219" s="466" t="s">
        <v>509</v>
      </c>
      <c r="Y219" s="467" t="s">
        <v>15</v>
      </c>
      <c r="Z219" s="468" t="s">
        <v>368</v>
      </c>
      <c r="AA219" s="466" t="s">
        <v>509</v>
      </c>
      <c r="AB219" s="467" t="s">
        <v>15</v>
      </c>
      <c r="AC219" s="468" t="s">
        <v>368</v>
      </c>
      <c r="AD219" s="466" t="s">
        <v>509</v>
      </c>
      <c r="AE219" s="467" t="s">
        <v>15</v>
      </c>
      <c r="AF219" s="468" t="s">
        <v>368</v>
      </c>
      <c r="AG219" s="466" t="s">
        <v>509</v>
      </c>
      <c r="AH219" s="467" t="s">
        <v>15</v>
      </c>
      <c r="AI219" s="468" t="s">
        <v>368</v>
      </c>
      <c r="AJ219" s="466" t="s">
        <v>509</v>
      </c>
      <c r="AK219" s="467" t="s">
        <v>15</v>
      </c>
      <c r="AL219" s="468" t="s">
        <v>368</v>
      </c>
    </row>
    <row r="220" spans="1:41" x14ac:dyDescent="0.35">
      <c r="A220" s="471">
        <f t="shared" ref="A220:A240" si="13">SUM(E220,H220,K220,N220,Q220,T220,W220,Z220,AC220,AF220,AI220,AL220)</f>
        <v>0</v>
      </c>
      <c r="B220" s="459" t="s">
        <v>483</v>
      </c>
      <c r="C220" s="457">
        <v>0</v>
      </c>
      <c r="D220" s="460" t="str">
        <f>RevenueStreams!$E$12</f>
        <v>Per Hr</v>
      </c>
      <c r="E220" s="461">
        <f>C220*RevenueStreams!$D$12</f>
        <v>0</v>
      </c>
      <c r="F220" s="457">
        <v>0</v>
      </c>
      <c r="G220" s="460" t="str">
        <f>RevenueStreams!$E$12</f>
        <v>Per Hr</v>
      </c>
      <c r="H220" s="461">
        <f>F220*RevenueStreams!$D$12</f>
        <v>0</v>
      </c>
      <c r="I220" s="457">
        <v>0</v>
      </c>
      <c r="J220" s="460" t="str">
        <f>RevenueStreams!$E$12</f>
        <v>Per Hr</v>
      </c>
      <c r="K220" s="461">
        <f>I220*RevenueStreams!$D$12</f>
        <v>0</v>
      </c>
      <c r="L220" s="457">
        <v>0</v>
      </c>
      <c r="M220" s="456" t="str">
        <f>RevenueStreams!$E$12</f>
        <v>Per Hr</v>
      </c>
      <c r="N220" s="458">
        <f>L220*RevenueStreams!$D$12</f>
        <v>0</v>
      </c>
      <c r="O220" s="457">
        <v>0</v>
      </c>
      <c r="P220" s="456" t="str">
        <f>RevenueStreams!$E$12</f>
        <v>Per Hr</v>
      </c>
      <c r="Q220" s="458">
        <f>O220*RevenueStreams!$D$12</f>
        <v>0</v>
      </c>
      <c r="R220" s="457">
        <v>0</v>
      </c>
      <c r="S220" s="456" t="str">
        <f>RevenueStreams!$E$12</f>
        <v>Per Hr</v>
      </c>
      <c r="T220" s="458">
        <f>R220*RevenueStreams!$D$12</f>
        <v>0</v>
      </c>
      <c r="U220" s="457">
        <v>0</v>
      </c>
      <c r="V220" s="456" t="str">
        <f>RevenueStreams!$E$12</f>
        <v>Per Hr</v>
      </c>
      <c r="W220" s="458">
        <f>U220*RevenueStreams!$D$12</f>
        <v>0</v>
      </c>
      <c r="X220" s="457">
        <v>0</v>
      </c>
      <c r="Y220" s="456" t="str">
        <f>RevenueStreams!$E$12</f>
        <v>Per Hr</v>
      </c>
      <c r="Z220" s="458">
        <f>X220*RevenueStreams!$D$12</f>
        <v>0</v>
      </c>
      <c r="AA220" s="457">
        <v>0</v>
      </c>
      <c r="AB220" s="456" t="str">
        <f>RevenueStreams!$E$12</f>
        <v>Per Hr</v>
      </c>
      <c r="AC220" s="458">
        <f>AA220*RevenueStreams!$D$12</f>
        <v>0</v>
      </c>
      <c r="AD220" s="457">
        <v>0</v>
      </c>
      <c r="AE220" s="456" t="str">
        <f>RevenueStreams!$E$12</f>
        <v>Per Hr</v>
      </c>
      <c r="AF220" s="458">
        <f>AD220*RevenueStreams!$D$12</f>
        <v>0</v>
      </c>
      <c r="AG220" s="457">
        <v>0</v>
      </c>
      <c r="AH220" s="456" t="str">
        <f>RevenueStreams!$E$12</f>
        <v>Per Hr</v>
      </c>
      <c r="AI220" s="458">
        <f>AG220*RevenueStreams!$D$12</f>
        <v>0</v>
      </c>
      <c r="AJ220" s="457">
        <v>0</v>
      </c>
      <c r="AK220" s="456" t="str">
        <f>RevenueStreams!$E$12</f>
        <v>Per Hr</v>
      </c>
      <c r="AL220" s="458">
        <f>AJ220*RevenueStreams!$D$12</f>
        <v>0</v>
      </c>
    </row>
    <row r="221" spans="1:41" x14ac:dyDescent="0.35">
      <c r="A221" s="471">
        <f t="shared" si="13"/>
        <v>2304</v>
      </c>
      <c r="B221" s="459" t="s">
        <v>484</v>
      </c>
      <c r="C221" s="457">
        <v>1</v>
      </c>
      <c r="D221" s="460" t="str">
        <f>RevenueStreams!$E$13</f>
        <v>Per Mo</v>
      </c>
      <c r="E221" s="461">
        <f>C221*RevenueStreams!$D$13</f>
        <v>192</v>
      </c>
      <c r="F221" s="457">
        <v>1</v>
      </c>
      <c r="G221" s="460" t="str">
        <f>RevenueStreams!$E$13</f>
        <v>Per Mo</v>
      </c>
      <c r="H221" s="461">
        <f>F221*RevenueStreams!$D$13</f>
        <v>192</v>
      </c>
      <c r="I221" s="457">
        <v>1</v>
      </c>
      <c r="J221" s="460" t="str">
        <f>RevenueStreams!$E$13</f>
        <v>Per Mo</v>
      </c>
      <c r="K221" s="461">
        <f>I221*RevenueStreams!$D$13</f>
        <v>192</v>
      </c>
      <c r="L221" s="457">
        <v>1</v>
      </c>
      <c r="M221" s="456" t="str">
        <f>RevenueStreams!$E$13</f>
        <v>Per Mo</v>
      </c>
      <c r="N221" s="458">
        <f>L221*RevenueStreams!$D$13</f>
        <v>192</v>
      </c>
      <c r="O221" s="457">
        <v>1</v>
      </c>
      <c r="P221" s="456" t="str">
        <f>RevenueStreams!$E$13</f>
        <v>Per Mo</v>
      </c>
      <c r="Q221" s="458">
        <f>O221*RevenueStreams!$D$13</f>
        <v>192</v>
      </c>
      <c r="R221" s="457">
        <v>1</v>
      </c>
      <c r="S221" s="456" t="str">
        <f>RevenueStreams!$E$13</f>
        <v>Per Mo</v>
      </c>
      <c r="T221" s="458">
        <f>R221*RevenueStreams!$D$13</f>
        <v>192</v>
      </c>
      <c r="U221" s="457">
        <v>1</v>
      </c>
      <c r="V221" s="456" t="str">
        <f>RevenueStreams!$E$13</f>
        <v>Per Mo</v>
      </c>
      <c r="W221" s="458">
        <f>U221*RevenueStreams!$D$13</f>
        <v>192</v>
      </c>
      <c r="X221" s="457">
        <v>1</v>
      </c>
      <c r="Y221" s="456" t="str">
        <f>RevenueStreams!$E$13</f>
        <v>Per Mo</v>
      </c>
      <c r="Z221" s="458">
        <f>X221*RevenueStreams!$D$13</f>
        <v>192</v>
      </c>
      <c r="AA221" s="457">
        <v>1</v>
      </c>
      <c r="AB221" s="456" t="str">
        <f>RevenueStreams!$E$13</f>
        <v>Per Mo</v>
      </c>
      <c r="AC221" s="458">
        <f>AA221*RevenueStreams!$D$13</f>
        <v>192</v>
      </c>
      <c r="AD221" s="457">
        <v>1</v>
      </c>
      <c r="AE221" s="456" t="str">
        <f>RevenueStreams!$E$13</f>
        <v>Per Mo</v>
      </c>
      <c r="AF221" s="458">
        <f>AD221*RevenueStreams!$D$13</f>
        <v>192</v>
      </c>
      <c r="AG221" s="457">
        <v>1</v>
      </c>
      <c r="AH221" s="456" t="str">
        <f>RevenueStreams!$E$13</f>
        <v>Per Mo</v>
      </c>
      <c r="AI221" s="458">
        <f>AG221*RevenueStreams!$D$13</f>
        <v>192</v>
      </c>
      <c r="AJ221" s="457">
        <v>1</v>
      </c>
      <c r="AK221" s="456" t="str">
        <f>RevenueStreams!$E$13</f>
        <v>Per Mo</v>
      </c>
      <c r="AL221" s="458">
        <f>AJ221*RevenueStreams!$D$13</f>
        <v>192</v>
      </c>
    </row>
    <row r="222" spans="1:41" x14ac:dyDescent="0.35">
      <c r="A222" s="471">
        <f t="shared" si="13"/>
        <v>2304</v>
      </c>
      <c r="B222" s="459" t="s">
        <v>485</v>
      </c>
      <c r="C222" s="457">
        <v>1</v>
      </c>
      <c r="D222" s="460" t="str">
        <f>RevenueStreams!$E$14</f>
        <v>Per Mo</v>
      </c>
      <c r="E222" s="461">
        <f>C222*RevenueStreams!$D$14</f>
        <v>192</v>
      </c>
      <c r="F222" s="457">
        <v>1</v>
      </c>
      <c r="G222" s="460" t="str">
        <f>RevenueStreams!$E$14</f>
        <v>Per Mo</v>
      </c>
      <c r="H222" s="461">
        <f>F222*RevenueStreams!$D$14</f>
        <v>192</v>
      </c>
      <c r="I222" s="457">
        <v>1</v>
      </c>
      <c r="J222" s="460" t="str">
        <f>RevenueStreams!$E$14</f>
        <v>Per Mo</v>
      </c>
      <c r="K222" s="461">
        <f>I222*RevenueStreams!$D$14</f>
        <v>192</v>
      </c>
      <c r="L222" s="457">
        <v>1</v>
      </c>
      <c r="M222" s="460" t="str">
        <f>RevenueStreams!$E$14</f>
        <v>Per Mo</v>
      </c>
      <c r="N222" s="461">
        <f>L222*RevenueStreams!$D$14</f>
        <v>192</v>
      </c>
      <c r="O222" s="457">
        <v>1</v>
      </c>
      <c r="P222" s="460" t="str">
        <f>RevenueStreams!$E$14</f>
        <v>Per Mo</v>
      </c>
      <c r="Q222" s="461">
        <f>O222*RevenueStreams!$D$14</f>
        <v>192</v>
      </c>
      <c r="R222" s="457">
        <v>1</v>
      </c>
      <c r="S222" s="460" t="str">
        <f>RevenueStreams!$E$14</f>
        <v>Per Mo</v>
      </c>
      <c r="T222" s="461">
        <f>R222*RevenueStreams!$D$14</f>
        <v>192</v>
      </c>
      <c r="U222" s="457">
        <v>1</v>
      </c>
      <c r="V222" s="460" t="str">
        <f>RevenueStreams!$E$14</f>
        <v>Per Mo</v>
      </c>
      <c r="W222" s="461">
        <f>U222*RevenueStreams!$D$14</f>
        <v>192</v>
      </c>
      <c r="X222" s="457">
        <v>1</v>
      </c>
      <c r="Y222" s="460" t="str">
        <f>RevenueStreams!$E$14</f>
        <v>Per Mo</v>
      </c>
      <c r="Z222" s="461">
        <f>X222*RevenueStreams!$D$14</f>
        <v>192</v>
      </c>
      <c r="AA222" s="457">
        <v>1</v>
      </c>
      <c r="AB222" s="460" t="str">
        <f>RevenueStreams!$E$14</f>
        <v>Per Mo</v>
      </c>
      <c r="AC222" s="461">
        <f>AA222*RevenueStreams!$D$14</f>
        <v>192</v>
      </c>
      <c r="AD222" s="457">
        <v>1</v>
      </c>
      <c r="AE222" s="460" t="str">
        <f>RevenueStreams!$E$14</f>
        <v>Per Mo</v>
      </c>
      <c r="AF222" s="461">
        <f>AD222*RevenueStreams!$D$14</f>
        <v>192</v>
      </c>
      <c r="AG222" s="457">
        <v>1</v>
      </c>
      <c r="AH222" s="460" t="str">
        <f>RevenueStreams!$E$14</f>
        <v>Per Mo</v>
      </c>
      <c r="AI222" s="461">
        <f>AG222*RevenueStreams!$D$14</f>
        <v>192</v>
      </c>
      <c r="AJ222" s="457">
        <v>1</v>
      </c>
      <c r="AK222" s="460" t="str">
        <f>RevenueStreams!$E$14</f>
        <v>Per Mo</v>
      </c>
      <c r="AL222" s="461">
        <f>AJ222*RevenueStreams!$D$14</f>
        <v>192</v>
      </c>
    </row>
    <row r="223" spans="1:41" x14ac:dyDescent="0.35">
      <c r="A223" s="471">
        <f t="shared" si="13"/>
        <v>0</v>
      </c>
      <c r="B223" s="459" t="s">
        <v>486</v>
      </c>
      <c r="C223" s="457">
        <v>0</v>
      </c>
      <c r="D223" s="460" t="str">
        <f>RevenueStreams!$E$15</f>
        <v>Per Mo</v>
      </c>
      <c r="E223" s="461">
        <f>C223*RevenueStreams!$D$15</f>
        <v>0</v>
      </c>
      <c r="F223" s="457">
        <v>0</v>
      </c>
      <c r="G223" s="460" t="str">
        <f>RevenueStreams!$E$15</f>
        <v>Per Mo</v>
      </c>
      <c r="H223" s="461">
        <f>F223*RevenueStreams!$D$15</f>
        <v>0</v>
      </c>
      <c r="I223" s="457">
        <v>0</v>
      </c>
      <c r="J223" s="460" t="str">
        <f>RevenueStreams!$E$15</f>
        <v>Per Mo</v>
      </c>
      <c r="K223" s="461">
        <f>I223*RevenueStreams!$D$15</f>
        <v>0</v>
      </c>
      <c r="L223" s="457">
        <v>0</v>
      </c>
      <c r="M223" s="460" t="str">
        <f>RevenueStreams!$E$15</f>
        <v>Per Mo</v>
      </c>
      <c r="N223" s="461">
        <f>L223*RevenueStreams!$D$15</f>
        <v>0</v>
      </c>
      <c r="O223" s="457">
        <v>0</v>
      </c>
      <c r="P223" s="460" t="str">
        <f>RevenueStreams!$E$15</f>
        <v>Per Mo</v>
      </c>
      <c r="Q223" s="461">
        <f>O223*RevenueStreams!$D$15</f>
        <v>0</v>
      </c>
      <c r="R223" s="457">
        <v>0</v>
      </c>
      <c r="S223" s="460" t="str">
        <f>RevenueStreams!$E$15</f>
        <v>Per Mo</v>
      </c>
      <c r="T223" s="461">
        <f>R223*RevenueStreams!$D$15</f>
        <v>0</v>
      </c>
      <c r="U223" s="457">
        <v>0</v>
      </c>
      <c r="V223" s="460" t="str">
        <f>RevenueStreams!$E$15</f>
        <v>Per Mo</v>
      </c>
      <c r="W223" s="461">
        <f>U223*RevenueStreams!$D$15</f>
        <v>0</v>
      </c>
      <c r="X223" s="457">
        <v>0</v>
      </c>
      <c r="Y223" s="460" t="str">
        <f>RevenueStreams!$E$15</f>
        <v>Per Mo</v>
      </c>
      <c r="Z223" s="461">
        <f>X223*RevenueStreams!$D$15</f>
        <v>0</v>
      </c>
      <c r="AA223" s="457">
        <v>0</v>
      </c>
      <c r="AB223" s="460" t="str">
        <f>RevenueStreams!$E$15</f>
        <v>Per Mo</v>
      </c>
      <c r="AC223" s="461">
        <f>AA223*RevenueStreams!$D$15</f>
        <v>0</v>
      </c>
      <c r="AD223" s="457">
        <v>0</v>
      </c>
      <c r="AE223" s="460" t="str">
        <f>RevenueStreams!$E$15</f>
        <v>Per Mo</v>
      </c>
      <c r="AF223" s="461">
        <f>AD223*RevenueStreams!$D$15</f>
        <v>0</v>
      </c>
      <c r="AG223" s="457">
        <v>0</v>
      </c>
      <c r="AH223" s="460" t="str">
        <f>RevenueStreams!$E$15</f>
        <v>Per Mo</v>
      </c>
      <c r="AI223" s="461">
        <f>AG223*RevenueStreams!$D$15</f>
        <v>0</v>
      </c>
      <c r="AJ223" s="457">
        <v>0</v>
      </c>
      <c r="AK223" s="460" t="str">
        <f>RevenueStreams!$E$15</f>
        <v>Per Mo</v>
      </c>
      <c r="AL223" s="461">
        <f>AJ223*RevenueStreams!$D$15</f>
        <v>0</v>
      </c>
    </row>
    <row r="224" spans="1:41" x14ac:dyDescent="0.35">
      <c r="A224" s="471">
        <f t="shared" si="13"/>
        <v>3456</v>
      </c>
      <c r="B224" s="459" t="s">
        <v>530</v>
      </c>
      <c r="C224" s="457">
        <v>1</v>
      </c>
      <c r="D224" s="460" t="str">
        <f>RevenueStreams!$E$16</f>
        <v>Per Mo</v>
      </c>
      <c r="E224" s="461">
        <f>C224*RevenueStreams!$D$16</f>
        <v>288</v>
      </c>
      <c r="F224" s="457">
        <v>1</v>
      </c>
      <c r="G224" s="460" t="str">
        <f>RevenueStreams!$E$16</f>
        <v>Per Mo</v>
      </c>
      <c r="H224" s="461">
        <f>F224*RevenueStreams!$D$16</f>
        <v>288</v>
      </c>
      <c r="I224" s="457">
        <v>1</v>
      </c>
      <c r="J224" s="460" t="str">
        <f>RevenueStreams!$E$16</f>
        <v>Per Mo</v>
      </c>
      <c r="K224" s="461">
        <f>I224*RevenueStreams!$D$16</f>
        <v>288</v>
      </c>
      <c r="L224" s="457">
        <v>1</v>
      </c>
      <c r="M224" s="460" t="str">
        <f>RevenueStreams!$E$16</f>
        <v>Per Mo</v>
      </c>
      <c r="N224" s="461">
        <f>L224*RevenueStreams!$D$16</f>
        <v>288</v>
      </c>
      <c r="O224" s="457">
        <v>1</v>
      </c>
      <c r="P224" s="460" t="str">
        <f>RevenueStreams!$E$16</f>
        <v>Per Mo</v>
      </c>
      <c r="Q224" s="461">
        <f>O224*RevenueStreams!$D$16</f>
        <v>288</v>
      </c>
      <c r="R224" s="457">
        <v>1</v>
      </c>
      <c r="S224" s="460" t="str">
        <f>RevenueStreams!$E$16</f>
        <v>Per Mo</v>
      </c>
      <c r="T224" s="461">
        <f>R224*RevenueStreams!$D$16</f>
        <v>288</v>
      </c>
      <c r="U224" s="457">
        <v>1</v>
      </c>
      <c r="V224" s="460" t="str">
        <f>RevenueStreams!$E$16</f>
        <v>Per Mo</v>
      </c>
      <c r="W224" s="461">
        <f>U224*RevenueStreams!$D$16</f>
        <v>288</v>
      </c>
      <c r="X224" s="457">
        <v>1</v>
      </c>
      <c r="Y224" s="460" t="str">
        <f>RevenueStreams!$E$16</f>
        <v>Per Mo</v>
      </c>
      <c r="Z224" s="461">
        <f>X224*RevenueStreams!$D$16</f>
        <v>288</v>
      </c>
      <c r="AA224" s="457">
        <v>1</v>
      </c>
      <c r="AB224" s="460" t="str">
        <f>RevenueStreams!$E$16</f>
        <v>Per Mo</v>
      </c>
      <c r="AC224" s="461">
        <f>AA224*RevenueStreams!$D$16</f>
        <v>288</v>
      </c>
      <c r="AD224" s="457">
        <v>1</v>
      </c>
      <c r="AE224" s="460" t="str">
        <f>RevenueStreams!$E$16</f>
        <v>Per Mo</v>
      </c>
      <c r="AF224" s="461">
        <f>AD224*RevenueStreams!$D$16</f>
        <v>288</v>
      </c>
      <c r="AG224" s="457">
        <v>1</v>
      </c>
      <c r="AH224" s="460" t="str">
        <f>RevenueStreams!$E$16</f>
        <v>Per Mo</v>
      </c>
      <c r="AI224" s="461">
        <f>AG224*RevenueStreams!$D$16</f>
        <v>288</v>
      </c>
      <c r="AJ224" s="457">
        <v>1</v>
      </c>
      <c r="AK224" s="460" t="str">
        <f>RevenueStreams!$E$16</f>
        <v>Per Mo</v>
      </c>
      <c r="AL224" s="461">
        <f>AJ224*RevenueStreams!$D$16</f>
        <v>288</v>
      </c>
    </row>
    <row r="225" spans="1:38" x14ac:dyDescent="0.35">
      <c r="A225" s="471">
        <f t="shared" si="13"/>
        <v>3456</v>
      </c>
      <c r="B225" s="459" t="s">
        <v>487</v>
      </c>
      <c r="C225" s="457">
        <v>1</v>
      </c>
      <c r="D225" s="460" t="str">
        <f>RevenueStreams!$E$17</f>
        <v>Per Mo</v>
      </c>
      <c r="E225" s="461">
        <f>C225*RevenueStreams!$D$17</f>
        <v>288</v>
      </c>
      <c r="F225" s="457">
        <v>1</v>
      </c>
      <c r="G225" s="460" t="str">
        <f>RevenueStreams!$E$17</f>
        <v>Per Mo</v>
      </c>
      <c r="H225" s="461">
        <f>F225*RevenueStreams!$D$17</f>
        <v>288</v>
      </c>
      <c r="I225" s="457">
        <v>1</v>
      </c>
      <c r="J225" s="460" t="str">
        <f>RevenueStreams!$E$17</f>
        <v>Per Mo</v>
      </c>
      <c r="K225" s="461">
        <f>I225*RevenueStreams!$D$17</f>
        <v>288</v>
      </c>
      <c r="L225" s="457">
        <v>1</v>
      </c>
      <c r="M225" s="460" t="str">
        <f>RevenueStreams!$E$17</f>
        <v>Per Mo</v>
      </c>
      <c r="N225" s="461">
        <f>L225*RevenueStreams!$D$17</f>
        <v>288</v>
      </c>
      <c r="O225" s="457">
        <v>1</v>
      </c>
      <c r="P225" s="460" t="str">
        <f>RevenueStreams!$E$17</f>
        <v>Per Mo</v>
      </c>
      <c r="Q225" s="461">
        <f>O225*RevenueStreams!$D$17</f>
        <v>288</v>
      </c>
      <c r="R225" s="457">
        <v>1</v>
      </c>
      <c r="S225" s="460" t="str">
        <f>RevenueStreams!$E$17</f>
        <v>Per Mo</v>
      </c>
      <c r="T225" s="461">
        <f>R225*RevenueStreams!$D$17</f>
        <v>288</v>
      </c>
      <c r="U225" s="457">
        <v>1</v>
      </c>
      <c r="V225" s="460" t="str">
        <f>RevenueStreams!$E$17</f>
        <v>Per Mo</v>
      </c>
      <c r="W225" s="461">
        <f>U225*RevenueStreams!$D$17</f>
        <v>288</v>
      </c>
      <c r="X225" s="457">
        <v>1</v>
      </c>
      <c r="Y225" s="460" t="str">
        <f>RevenueStreams!$E$17</f>
        <v>Per Mo</v>
      </c>
      <c r="Z225" s="461">
        <f>X225*RevenueStreams!$D$17</f>
        <v>288</v>
      </c>
      <c r="AA225" s="457">
        <v>1</v>
      </c>
      <c r="AB225" s="460" t="str">
        <f>RevenueStreams!$E$17</f>
        <v>Per Mo</v>
      </c>
      <c r="AC225" s="461">
        <f>AA225*RevenueStreams!$D$17</f>
        <v>288</v>
      </c>
      <c r="AD225" s="457">
        <v>1</v>
      </c>
      <c r="AE225" s="460" t="str">
        <f>RevenueStreams!$E$17</f>
        <v>Per Mo</v>
      </c>
      <c r="AF225" s="461">
        <f>AD225*RevenueStreams!$D$17</f>
        <v>288</v>
      </c>
      <c r="AG225" s="457">
        <v>1</v>
      </c>
      <c r="AH225" s="460" t="str">
        <f>RevenueStreams!$E$17</f>
        <v>Per Mo</v>
      </c>
      <c r="AI225" s="461">
        <f>AG225*RevenueStreams!$D$17</f>
        <v>288</v>
      </c>
      <c r="AJ225" s="457">
        <v>1</v>
      </c>
      <c r="AK225" s="460" t="str">
        <f>RevenueStreams!$E$17</f>
        <v>Per Mo</v>
      </c>
      <c r="AL225" s="461">
        <f>AJ225*RevenueStreams!$D$17</f>
        <v>288</v>
      </c>
    </row>
    <row r="226" spans="1:38" x14ac:dyDescent="0.35">
      <c r="A226" s="471">
        <f t="shared" si="13"/>
        <v>0</v>
      </c>
      <c r="B226" s="459" t="s">
        <v>488</v>
      </c>
      <c r="C226" s="457">
        <v>0</v>
      </c>
      <c r="D226" s="460" t="str">
        <f>RevenueStreams!$E$18</f>
        <v>Per Mo</v>
      </c>
      <c r="E226" s="461">
        <f>C226*RevenueStreams!$D$18</f>
        <v>0</v>
      </c>
      <c r="F226" s="457">
        <v>0</v>
      </c>
      <c r="G226" s="460" t="str">
        <f>RevenueStreams!$E$18</f>
        <v>Per Mo</v>
      </c>
      <c r="H226" s="461">
        <f>F226*RevenueStreams!$D$18</f>
        <v>0</v>
      </c>
      <c r="I226" s="457">
        <v>0</v>
      </c>
      <c r="J226" s="460" t="str">
        <f>RevenueStreams!$E$18</f>
        <v>Per Mo</v>
      </c>
      <c r="K226" s="461">
        <f>I226*RevenueStreams!$D$18</f>
        <v>0</v>
      </c>
      <c r="L226" s="457">
        <v>0</v>
      </c>
      <c r="M226" s="460" t="str">
        <f>RevenueStreams!$E$18</f>
        <v>Per Mo</v>
      </c>
      <c r="N226" s="461">
        <f>L226*RevenueStreams!$D$18</f>
        <v>0</v>
      </c>
      <c r="O226" s="457">
        <v>0</v>
      </c>
      <c r="P226" s="460" t="str">
        <f>RevenueStreams!$E$18</f>
        <v>Per Mo</v>
      </c>
      <c r="Q226" s="461">
        <f>O226*RevenueStreams!$D$18</f>
        <v>0</v>
      </c>
      <c r="R226" s="457">
        <v>0</v>
      </c>
      <c r="S226" s="460" t="str">
        <f>RevenueStreams!$E$18</f>
        <v>Per Mo</v>
      </c>
      <c r="T226" s="461">
        <f>R226*RevenueStreams!$D$18</f>
        <v>0</v>
      </c>
      <c r="U226" s="457">
        <v>0</v>
      </c>
      <c r="V226" s="460" t="str">
        <f>RevenueStreams!$E$18</f>
        <v>Per Mo</v>
      </c>
      <c r="W226" s="461">
        <f>U226*RevenueStreams!$D$18</f>
        <v>0</v>
      </c>
      <c r="X226" s="457">
        <v>0</v>
      </c>
      <c r="Y226" s="460" t="str">
        <f>RevenueStreams!$E$18</f>
        <v>Per Mo</v>
      </c>
      <c r="Z226" s="461">
        <f>X226*RevenueStreams!$D$18</f>
        <v>0</v>
      </c>
      <c r="AA226" s="457">
        <v>0</v>
      </c>
      <c r="AB226" s="460" t="str">
        <f>RevenueStreams!$E$18</f>
        <v>Per Mo</v>
      </c>
      <c r="AC226" s="461">
        <f>AA226*RevenueStreams!$D$18</f>
        <v>0</v>
      </c>
      <c r="AD226" s="457">
        <v>0</v>
      </c>
      <c r="AE226" s="460" t="str">
        <f>RevenueStreams!$E$18</f>
        <v>Per Mo</v>
      </c>
      <c r="AF226" s="461">
        <f>AD226*RevenueStreams!$D$18</f>
        <v>0</v>
      </c>
      <c r="AG226" s="457">
        <v>0</v>
      </c>
      <c r="AH226" s="460" t="str">
        <f>RevenueStreams!$E$18</f>
        <v>Per Mo</v>
      </c>
      <c r="AI226" s="461">
        <f>AG226*RevenueStreams!$D$18</f>
        <v>0</v>
      </c>
      <c r="AJ226" s="457">
        <v>0</v>
      </c>
      <c r="AK226" s="460" t="str">
        <f>RevenueStreams!$E$18</f>
        <v>Per Mo</v>
      </c>
      <c r="AL226" s="461">
        <f>AJ226*RevenueStreams!$D$18</f>
        <v>0</v>
      </c>
    </row>
    <row r="227" spans="1:38" x14ac:dyDescent="0.35">
      <c r="A227" s="471">
        <f t="shared" si="13"/>
        <v>6912</v>
      </c>
      <c r="B227" s="459" t="s">
        <v>489</v>
      </c>
      <c r="C227" s="457">
        <v>1</v>
      </c>
      <c r="D227" s="460" t="str">
        <f>RevenueStreams!$E$19</f>
        <v>Per Mo</v>
      </c>
      <c r="E227" s="461">
        <f>C227*RevenueStreams!$D$19</f>
        <v>576</v>
      </c>
      <c r="F227" s="457">
        <v>1</v>
      </c>
      <c r="G227" s="460" t="str">
        <f>RevenueStreams!$E$19</f>
        <v>Per Mo</v>
      </c>
      <c r="H227" s="461">
        <f>F227*RevenueStreams!$D$19</f>
        <v>576</v>
      </c>
      <c r="I227" s="457">
        <v>1</v>
      </c>
      <c r="J227" s="460" t="str">
        <f>RevenueStreams!$E$19</f>
        <v>Per Mo</v>
      </c>
      <c r="K227" s="461">
        <f>I227*RevenueStreams!$D$19</f>
        <v>576</v>
      </c>
      <c r="L227" s="457">
        <v>1</v>
      </c>
      <c r="M227" s="460" t="str">
        <f>RevenueStreams!$E$19</f>
        <v>Per Mo</v>
      </c>
      <c r="N227" s="461">
        <f>L227*RevenueStreams!$D$19</f>
        <v>576</v>
      </c>
      <c r="O227" s="457">
        <v>1</v>
      </c>
      <c r="P227" s="460" t="str">
        <f>RevenueStreams!$E$19</f>
        <v>Per Mo</v>
      </c>
      <c r="Q227" s="461">
        <f>O227*RevenueStreams!$D$19</f>
        <v>576</v>
      </c>
      <c r="R227" s="457">
        <v>1</v>
      </c>
      <c r="S227" s="460" t="str">
        <f>RevenueStreams!$E$19</f>
        <v>Per Mo</v>
      </c>
      <c r="T227" s="461">
        <f>R227*RevenueStreams!$D$19</f>
        <v>576</v>
      </c>
      <c r="U227" s="457">
        <v>1</v>
      </c>
      <c r="V227" s="460" t="str">
        <f>RevenueStreams!$E$19</f>
        <v>Per Mo</v>
      </c>
      <c r="W227" s="461">
        <f>U227*RevenueStreams!$D$19</f>
        <v>576</v>
      </c>
      <c r="X227" s="457">
        <v>1</v>
      </c>
      <c r="Y227" s="460" t="str">
        <f>RevenueStreams!$E$19</f>
        <v>Per Mo</v>
      </c>
      <c r="Z227" s="461">
        <f>X227*RevenueStreams!$D$19</f>
        <v>576</v>
      </c>
      <c r="AA227" s="457">
        <v>1</v>
      </c>
      <c r="AB227" s="460" t="str">
        <f>RevenueStreams!$E$19</f>
        <v>Per Mo</v>
      </c>
      <c r="AC227" s="461">
        <f>AA227*RevenueStreams!$D$19</f>
        <v>576</v>
      </c>
      <c r="AD227" s="457">
        <v>1</v>
      </c>
      <c r="AE227" s="460" t="str">
        <f>RevenueStreams!$E$19</f>
        <v>Per Mo</v>
      </c>
      <c r="AF227" s="461">
        <f>AD227*RevenueStreams!$D$19</f>
        <v>576</v>
      </c>
      <c r="AG227" s="457">
        <v>1</v>
      </c>
      <c r="AH227" s="460" t="str">
        <f>RevenueStreams!$E$19</f>
        <v>Per Mo</v>
      </c>
      <c r="AI227" s="461">
        <f>AG227*RevenueStreams!$D$19</f>
        <v>576</v>
      </c>
      <c r="AJ227" s="457">
        <v>1</v>
      </c>
      <c r="AK227" s="460" t="str">
        <f>RevenueStreams!$E$19</f>
        <v>Per Mo</v>
      </c>
      <c r="AL227" s="461">
        <f>AJ227*RevenueStreams!$D$19</f>
        <v>576</v>
      </c>
    </row>
    <row r="228" spans="1:38" x14ac:dyDescent="0.35">
      <c r="A228" s="471">
        <f t="shared" si="13"/>
        <v>0</v>
      </c>
      <c r="B228" s="459" t="s">
        <v>496</v>
      </c>
      <c r="C228" s="457">
        <v>0</v>
      </c>
      <c r="D228" s="460" t="str">
        <f>RevenueStreams!$E$20</f>
        <v>Per  Hr</v>
      </c>
      <c r="E228" s="461">
        <f>C228*RevenueStreams!$D$20</f>
        <v>0</v>
      </c>
      <c r="F228" s="457">
        <v>0</v>
      </c>
      <c r="G228" s="460" t="str">
        <f>RevenueStreams!$E$20</f>
        <v>Per  Hr</v>
      </c>
      <c r="H228" s="461">
        <f>F228*RevenueStreams!$D$20</f>
        <v>0</v>
      </c>
      <c r="I228" s="457">
        <v>0</v>
      </c>
      <c r="J228" s="460" t="str">
        <f>RevenueStreams!$E$20</f>
        <v>Per  Hr</v>
      </c>
      <c r="K228" s="461">
        <f>I228*RevenueStreams!$D$20</f>
        <v>0</v>
      </c>
      <c r="L228" s="457">
        <v>0</v>
      </c>
      <c r="M228" s="460" t="str">
        <f>RevenueStreams!$E$20</f>
        <v>Per  Hr</v>
      </c>
      <c r="N228" s="461">
        <f>L228*RevenueStreams!$D$20</f>
        <v>0</v>
      </c>
      <c r="O228" s="457">
        <v>0</v>
      </c>
      <c r="P228" s="460" t="str">
        <f>RevenueStreams!$E$20</f>
        <v>Per  Hr</v>
      </c>
      <c r="Q228" s="461">
        <f>O228*RevenueStreams!$D$20</f>
        <v>0</v>
      </c>
      <c r="R228" s="457">
        <v>0</v>
      </c>
      <c r="S228" s="460" t="str">
        <f>RevenueStreams!$E$20</f>
        <v>Per  Hr</v>
      </c>
      <c r="T228" s="461">
        <f>R228*RevenueStreams!$D$20</f>
        <v>0</v>
      </c>
      <c r="U228" s="457">
        <v>0</v>
      </c>
      <c r="V228" s="460" t="str">
        <f>RevenueStreams!$E$20</f>
        <v>Per  Hr</v>
      </c>
      <c r="W228" s="461">
        <f>U228*RevenueStreams!$D$20</f>
        <v>0</v>
      </c>
      <c r="X228" s="457">
        <v>0</v>
      </c>
      <c r="Y228" s="460" t="str">
        <f>RevenueStreams!$E$20</f>
        <v>Per  Hr</v>
      </c>
      <c r="Z228" s="461">
        <f>X228*RevenueStreams!$D$20</f>
        <v>0</v>
      </c>
      <c r="AA228" s="457">
        <v>0</v>
      </c>
      <c r="AB228" s="460" t="str">
        <f>RevenueStreams!$E$20</f>
        <v>Per  Hr</v>
      </c>
      <c r="AC228" s="461">
        <f>AA228*RevenueStreams!$D$20</f>
        <v>0</v>
      </c>
      <c r="AD228" s="457">
        <v>0</v>
      </c>
      <c r="AE228" s="460" t="str">
        <f>RevenueStreams!$E$20</f>
        <v>Per  Hr</v>
      </c>
      <c r="AF228" s="461">
        <f>AD228*RevenueStreams!$D$20</f>
        <v>0</v>
      </c>
      <c r="AG228" s="457">
        <v>0</v>
      </c>
      <c r="AH228" s="460" t="str">
        <f>RevenueStreams!$E$20</f>
        <v>Per  Hr</v>
      </c>
      <c r="AI228" s="461">
        <f>AG228*RevenueStreams!$D$20</f>
        <v>0</v>
      </c>
      <c r="AJ228" s="457">
        <v>0</v>
      </c>
      <c r="AK228" s="460" t="str">
        <f>RevenueStreams!$E$20</f>
        <v>Per  Hr</v>
      </c>
      <c r="AL228" s="461">
        <f>AJ228*RevenueStreams!$D$20</f>
        <v>0</v>
      </c>
    </row>
    <row r="229" spans="1:38" x14ac:dyDescent="0.35">
      <c r="A229" s="471">
        <f t="shared" si="13"/>
        <v>0</v>
      </c>
      <c r="B229" s="459" t="s">
        <v>497</v>
      </c>
      <c r="C229" s="457">
        <v>0</v>
      </c>
      <c r="D229" s="460" t="str">
        <f>RevenueStreams!$E$21</f>
        <v>Per  Hr</v>
      </c>
      <c r="E229" s="461">
        <f>C229*RevenueStreams!$D$21</f>
        <v>0</v>
      </c>
      <c r="F229" s="457">
        <v>0</v>
      </c>
      <c r="G229" s="460" t="str">
        <f>RevenueStreams!$E$21</f>
        <v>Per  Hr</v>
      </c>
      <c r="H229" s="461">
        <f>F229*RevenueStreams!$D$21</f>
        <v>0</v>
      </c>
      <c r="I229" s="457">
        <v>0</v>
      </c>
      <c r="J229" s="460" t="str">
        <f>RevenueStreams!$E$21</f>
        <v>Per  Hr</v>
      </c>
      <c r="K229" s="461">
        <f>I229*RevenueStreams!$D$21</f>
        <v>0</v>
      </c>
      <c r="L229" s="457">
        <v>0</v>
      </c>
      <c r="M229" s="460" t="str">
        <f>RevenueStreams!$E$21</f>
        <v>Per  Hr</v>
      </c>
      <c r="N229" s="461">
        <f>L229*RevenueStreams!$D$21</f>
        <v>0</v>
      </c>
      <c r="O229" s="457">
        <v>0</v>
      </c>
      <c r="P229" s="460" t="str">
        <f>RevenueStreams!$E$21</f>
        <v>Per  Hr</v>
      </c>
      <c r="Q229" s="461">
        <f>O229*RevenueStreams!$D$21</f>
        <v>0</v>
      </c>
      <c r="R229" s="457">
        <v>0</v>
      </c>
      <c r="S229" s="460" t="str">
        <f>RevenueStreams!$E$21</f>
        <v>Per  Hr</v>
      </c>
      <c r="T229" s="461">
        <f>R229*RevenueStreams!$D$21</f>
        <v>0</v>
      </c>
      <c r="U229" s="457">
        <v>0</v>
      </c>
      <c r="V229" s="460" t="str">
        <f>RevenueStreams!$E$21</f>
        <v>Per  Hr</v>
      </c>
      <c r="W229" s="461">
        <f>U229*RevenueStreams!$D$21</f>
        <v>0</v>
      </c>
      <c r="X229" s="457">
        <v>0</v>
      </c>
      <c r="Y229" s="460" t="str">
        <f>RevenueStreams!$E$21</f>
        <v>Per  Hr</v>
      </c>
      <c r="Z229" s="461">
        <f>X229*RevenueStreams!$D$21</f>
        <v>0</v>
      </c>
      <c r="AA229" s="457">
        <v>0</v>
      </c>
      <c r="AB229" s="460" t="str">
        <f>RevenueStreams!$E$21</f>
        <v>Per  Hr</v>
      </c>
      <c r="AC229" s="461">
        <f>AA229*RevenueStreams!$D$21</f>
        <v>0</v>
      </c>
      <c r="AD229" s="457">
        <v>0</v>
      </c>
      <c r="AE229" s="460" t="str">
        <f>RevenueStreams!$E$21</f>
        <v>Per  Hr</v>
      </c>
      <c r="AF229" s="461">
        <f>AD229*RevenueStreams!$D$21</f>
        <v>0</v>
      </c>
      <c r="AG229" s="457">
        <v>0</v>
      </c>
      <c r="AH229" s="460" t="str">
        <f>RevenueStreams!$E$21</f>
        <v>Per  Hr</v>
      </c>
      <c r="AI229" s="461">
        <f>AG229*RevenueStreams!$D$21</f>
        <v>0</v>
      </c>
      <c r="AJ229" s="457">
        <v>0</v>
      </c>
      <c r="AK229" s="460" t="str">
        <f>RevenueStreams!$E$21</f>
        <v>Per  Hr</v>
      </c>
      <c r="AL229" s="461">
        <f>AJ229*RevenueStreams!$D$21</f>
        <v>0</v>
      </c>
    </row>
    <row r="230" spans="1:38" x14ac:dyDescent="0.35">
      <c r="A230" s="471">
        <f t="shared" si="13"/>
        <v>0</v>
      </c>
      <c r="B230" s="459" t="s">
        <v>498</v>
      </c>
      <c r="C230" s="457">
        <v>0</v>
      </c>
      <c r="D230" s="460" t="str">
        <f>RevenueStreams!$E$22</f>
        <v>Per  Hr</v>
      </c>
      <c r="E230" s="461">
        <f>C230*RevenueStreams!$D$22</f>
        <v>0</v>
      </c>
      <c r="F230" s="457">
        <v>0</v>
      </c>
      <c r="G230" s="460" t="str">
        <f>RevenueStreams!$E$22</f>
        <v>Per  Hr</v>
      </c>
      <c r="H230" s="461">
        <f>F230*RevenueStreams!$D$22</f>
        <v>0</v>
      </c>
      <c r="I230" s="457">
        <v>0</v>
      </c>
      <c r="J230" s="460" t="str">
        <f>RevenueStreams!$E$22</f>
        <v>Per  Hr</v>
      </c>
      <c r="K230" s="461">
        <f>I230*RevenueStreams!$D$22</f>
        <v>0</v>
      </c>
      <c r="L230" s="457">
        <v>0</v>
      </c>
      <c r="M230" s="460" t="str">
        <f>RevenueStreams!$E$22</f>
        <v>Per  Hr</v>
      </c>
      <c r="N230" s="461">
        <f>L230*RevenueStreams!$D$22</f>
        <v>0</v>
      </c>
      <c r="O230" s="457">
        <v>0</v>
      </c>
      <c r="P230" s="460" t="str">
        <f>RevenueStreams!$E$22</f>
        <v>Per  Hr</v>
      </c>
      <c r="Q230" s="461">
        <f>O230*RevenueStreams!$D$22</f>
        <v>0</v>
      </c>
      <c r="R230" s="457">
        <v>0</v>
      </c>
      <c r="S230" s="460" t="str">
        <f>RevenueStreams!$E$22</f>
        <v>Per  Hr</v>
      </c>
      <c r="T230" s="461">
        <f>R230*RevenueStreams!$D$22</f>
        <v>0</v>
      </c>
      <c r="U230" s="457">
        <v>0</v>
      </c>
      <c r="V230" s="460" t="str">
        <f>RevenueStreams!$E$22</f>
        <v>Per  Hr</v>
      </c>
      <c r="W230" s="461">
        <f>U230*RevenueStreams!$D$22</f>
        <v>0</v>
      </c>
      <c r="X230" s="457">
        <v>0</v>
      </c>
      <c r="Y230" s="460" t="str">
        <f>RevenueStreams!$E$22</f>
        <v>Per  Hr</v>
      </c>
      <c r="Z230" s="461">
        <f>X230*RevenueStreams!$D$22</f>
        <v>0</v>
      </c>
      <c r="AA230" s="457">
        <v>0</v>
      </c>
      <c r="AB230" s="460" t="str">
        <f>RevenueStreams!$E$22</f>
        <v>Per  Hr</v>
      </c>
      <c r="AC230" s="461">
        <f>AA230*RevenueStreams!$D$22</f>
        <v>0</v>
      </c>
      <c r="AD230" s="457">
        <v>0</v>
      </c>
      <c r="AE230" s="460" t="str">
        <f>RevenueStreams!$E$22</f>
        <v>Per  Hr</v>
      </c>
      <c r="AF230" s="461">
        <f>AD230*RevenueStreams!$D$22</f>
        <v>0</v>
      </c>
      <c r="AG230" s="457">
        <v>0</v>
      </c>
      <c r="AH230" s="460" t="str">
        <f>RevenueStreams!$E$22</f>
        <v>Per  Hr</v>
      </c>
      <c r="AI230" s="461">
        <f>AG230*RevenueStreams!$D$22</f>
        <v>0</v>
      </c>
      <c r="AJ230" s="457">
        <v>0</v>
      </c>
      <c r="AK230" s="460" t="str">
        <f>RevenueStreams!$E$22</f>
        <v>Per  Hr</v>
      </c>
      <c r="AL230" s="461">
        <f>AJ230*RevenueStreams!$D$22</f>
        <v>0</v>
      </c>
    </row>
    <row r="231" spans="1:38" x14ac:dyDescent="0.35">
      <c r="A231" s="471">
        <f t="shared" si="13"/>
        <v>300</v>
      </c>
      <c r="B231" s="459" t="s">
        <v>272</v>
      </c>
      <c r="C231" s="457">
        <v>1</v>
      </c>
      <c r="D231" s="460" t="str">
        <f>RevenueStreams!$E$23</f>
        <v>Per  Pallet</v>
      </c>
      <c r="E231" s="461">
        <f>C231*RevenueStreams!$D$23</f>
        <v>25</v>
      </c>
      <c r="F231" s="457">
        <v>1</v>
      </c>
      <c r="G231" s="460" t="str">
        <f>RevenueStreams!$E$23</f>
        <v>Per  Pallet</v>
      </c>
      <c r="H231" s="461">
        <f>F231*RevenueStreams!$D$23</f>
        <v>25</v>
      </c>
      <c r="I231" s="457">
        <v>1</v>
      </c>
      <c r="J231" s="460" t="str">
        <f>RevenueStreams!$E$23</f>
        <v>Per  Pallet</v>
      </c>
      <c r="K231" s="461">
        <f>I231*RevenueStreams!$D$23</f>
        <v>25</v>
      </c>
      <c r="L231" s="457">
        <v>1</v>
      </c>
      <c r="M231" s="460" t="str">
        <f>RevenueStreams!$E$23</f>
        <v>Per  Pallet</v>
      </c>
      <c r="N231" s="461">
        <f>L231*RevenueStreams!$D$23</f>
        <v>25</v>
      </c>
      <c r="O231" s="457">
        <v>1</v>
      </c>
      <c r="P231" s="460" t="str">
        <f>RevenueStreams!$E$23</f>
        <v>Per  Pallet</v>
      </c>
      <c r="Q231" s="461">
        <f>O231*RevenueStreams!$D$23</f>
        <v>25</v>
      </c>
      <c r="R231" s="457">
        <v>1</v>
      </c>
      <c r="S231" s="460" t="str">
        <f>RevenueStreams!$E$23</f>
        <v>Per  Pallet</v>
      </c>
      <c r="T231" s="461">
        <f>R231*RevenueStreams!$D$23</f>
        <v>25</v>
      </c>
      <c r="U231" s="457">
        <v>1</v>
      </c>
      <c r="V231" s="460" t="str">
        <f>RevenueStreams!$E$23</f>
        <v>Per  Pallet</v>
      </c>
      <c r="W231" s="461">
        <f>U231*RevenueStreams!$D$23</f>
        <v>25</v>
      </c>
      <c r="X231" s="457">
        <v>1</v>
      </c>
      <c r="Y231" s="460" t="str">
        <f>RevenueStreams!$E$23</f>
        <v>Per  Pallet</v>
      </c>
      <c r="Z231" s="461">
        <f>X231*RevenueStreams!$D$23</f>
        <v>25</v>
      </c>
      <c r="AA231" s="457">
        <v>1</v>
      </c>
      <c r="AB231" s="460" t="str">
        <f>RevenueStreams!$E$23</f>
        <v>Per  Pallet</v>
      </c>
      <c r="AC231" s="461">
        <f>AA231*RevenueStreams!$D$23</f>
        <v>25</v>
      </c>
      <c r="AD231" s="457">
        <v>1</v>
      </c>
      <c r="AE231" s="460" t="str">
        <f>RevenueStreams!$E$23</f>
        <v>Per  Pallet</v>
      </c>
      <c r="AF231" s="461">
        <f>AD231*RevenueStreams!$D$23</f>
        <v>25</v>
      </c>
      <c r="AG231" s="457">
        <v>1</v>
      </c>
      <c r="AH231" s="460" t="str">
        <f>RevenueStreams!$E$23</f>
        <v>Per  Pallet</v>
      </c>
      <c r="AI231" s="461">
        <f>AG231*RevenueStreams!$D$23</f>
        <v>25</v>
      </c>
      <c r="AJ231" s="457">
        <v>1</v>
      </c>
      <c r="AK231" s="460" t="str">
        <f>RevenueStreams!$E$23</f>
        <v>Per  Pallet</v>
      </c>
      <c r="AL231" s="461">
        <f>AJ231*RevenueStreams!$D$23</f>
        <v>25</v>
      </c>
    </row>
    <row r="232" spans="1:38" x14ac:dyDescent="0.35">
      <c r="A232" s="471">
        <f t="shared" si="13"/>
        <v>0</v>
      </c>
      <c r="B232" s="459" t="s">
        <v>490</v>
      </c>
      <c r="C232" s="457">
        <v>0</v>
      </c>
      <c r="D232" s="460" t="str">
        <f>RevenueStreams!$E$24</f>
        <v>Per  Pallet</v>
      </c>
      <c r="E232" s="461">
        <f>C232*RevenueStreams!$D$24</f>
        <v>0</v>
      </c>
      <c r="F232" s="457">
        <v>0</v>
      </c>
      <c r="G232" s="460" t="str">
        <f>RevenueStreams!$E$24</f>
        <v>Per  Pallet</v>
      </c>
      <c r="H232" s="461">
        <f>F232*RevenueStreams!$D$24</f>
        <v>0</v>
      </c>
      <c r="I232" s="457">
        <v>0</v>
      </c>
      <c r="J232" s="460" t="str">
        <f>RevenueStreams!$E$24</f>
        <v>Per  Pallet</v>
      </c>
      <c r="K232" s="461">
        <f>I232*RevenueStreams!$D$24</f>
        <v>0</v>
      </c>
      <c r="L232" s="457">
        <v>0</v>
      </c>
      <c r="M232" s="460" t="str">
        <f>RevenueStreams!$E$24</f>
        <v>Per  Pallet</v>
      </c>
      <c r="N232" s="461">
        <f>L232*RevenueStreams!$D$24</f>
        <v>0</v>
      </c>
      <c r="O232" s="457">
        <v>0</v>
      </c>
      <c r="P232" s="460" t="str">
        <f>RevenueStreams!$E$24</f>
        <v>Per  Pallet</v>
      </c>
      <c r="Q232" s="461">
        <f>O232*RevenueStreams!$D$24</f>
        <v>0</v>
      </c>
      <c r="R232" s="457">
        <v>0</v>
      </c>
      <c r="S232" s="460" t="str">
        <f>RevenueStreams!$E$24</f>
        <v>Per  Pallet</v>
      </c>
      <c r="T232" s="461">
        <f>R232*RevenueStreams!$D$24</f>
        <v>0</v>
      </c>
      <c r="U232" s="457">
        <v>0</v>
      </c>
      <c r="V232" s="460" t="str">
        <f>RevenueStreams!$E$24</f>
        <v>Per  Pallet</v>
      </c>
      <c r="W232" s="461">
        <f>U232*RevenueStreams!$D$24</f>
        <v>0</v>
      </c>
      <c r="X232" s="457">
        <v>0</v>
      </c>
      <c r="Y232" s="460" t="str">
        <f>RevenueStreams!$E$24</f>
        <v>Per  Pallet</v>
      </c>
      <c r="Z232" s="461">
        <f>X232*RevenueStreams!$D$24</f>
        <v>0</v>
      </c>
      <c r="AA232" s="457">
        <v>0</v>
      </c>
      <c r="AB232" s="460" t="str">
        <f>RevenueStreams!$E$24</f>
        <v>Per  Pallet</v>
      </c>
      <c r="AC232" s="461">
        <f>AA232*RevenueStreams!$D$24</f>
        <v>0</v>
      </c>
      <c r="AD232" s="457">
        <v>0</v>
      </c>
      <c r="AE232" s="460" t="str">
        <f>RevenueStreams!$E$24</f>
        <v>Per  Pallet</v>
      </c>
      <c r="AF232" s="461">
        <f>AD232*RevenueStreams!$D$24</f>
        <v>0</v>
      </c>
      <c r="AG232" s="457">
        <v>0</v>
      </c>
      <c r="AH232" s="460" t="str">
        <f>RevenueStreams!$E$24</f>
        <v>Per  Pallet</v>
      </c>
      <c r="AI232" s="461">
        <f>AG232*RevenueStreams!$D$24</f>
        <v>0</v>
      </c>
      <c r="AJ232" s="457">
        <v>0</v>
      </c>
      <c r="AK232" s="460" t="str">
        <f>RevenueStreams!$E$24</f>
        <v>Per  Pallet</v>
      </c>
      <c r="AL232" s="461">
        <f>AJ232*RevenueStreams!$D$24</f>
        <v>0</v>
      </c>
    </row>
    <row r="233" spans="1:38" x14ac:dyDescent="0.35">
      <c r="A233" s="471">
        <f t="shared" si="13"/>
        <v>540</v>
      </c>
      <c r="B233" s="459" t="s">
        <v>491</v>
      </c>
      <c r="C233" s="457">
        <v>1</v>
      </c>
      <c r="D233" s="460" t="str">
        <f>RevenueStreams!$E$25</f>
        <v>Per  Pallet</v>
      </c>
      <c r="E233" s="461">
        <f>C233*RevenueStreams!$D$25</f>
        <v>45</v>
      </c>
      <c r="F233" s="457">
        <v>1</v>
      </c>
      <c r="G233" s="460" t="str">
        <f>RevenueStreams!$E$25</f>
        <v>Per  Pallet</v>
      </c>
      <c r="H233" s="461">
        <f>F233*RevenueStreams!$D$25</f>
        <v>45</v>
      </c>
      <c r="I233" s="457">
        <v>1</v>
      </c>
      <c r="J233" s="460" t="str">
        <f>RevenueStreams!$E$25</f>
        <v>Per  Pallet</v>
      </c>
      <c r="K233" s="461">
        <f>I233*RevenueStreams!$D$25</f>
        <v>45</v>
      </c>
      <c r="L233" s="457">
        <v>1</v>
      </c>
      <c r="M233" s="460" t="str">
        <f>RevenueStreams!$E$25</f>
        <v>Per  Pallet</v>
      </c>
      <c r="N233" s="461">
        <f>L233*RevenueStreams!$D$25</f>
        <v>45</v>
      </c>
      <c r="O233" s="457">
        <v>1</v>
      </c>
      <c r="P233" s="460" t="str">
        <f>RevenueStreams!$E$25</f>
        <v>Per  Pallet</v>
      </c>
      <c r="Q233" s="461">
        <f>O233*RevenueStreams!$D$25</f>
        <v>45</v>
      </c>
      <c r="R233" s="457">
        <v>1</v>
      </c>
      <c r="S233" s="460" t="str">
        <f>RevenueStreams!$E$25</f>
        <v>Per  Pallet</v>
      </c>
      <c r="T233" s="461">
        <f>R233*RevenueStreams!$D$25</f>
        <v>45</v>
      </c>
      <c r="U233" s="457">
        <v>1</v>
      </c>
      <c r="V233" s="460" t="str">
        <f>RevenueStreams!$E$25</f>
        <v>Per  Pallet</v>
      </c>
      <c r="W233" s="461">
        <f>U233*RevenueStreams!$D$25</f>
        <v>45</v>
      </c>
      <c r="X233" s="457">
        <v>1</v>
      </c>
      <c r="Y233" s="460" t="str">
        <f>RevenueStreams!$E$25</f>
        <v>Per  Pallet</v>
      </c>
      <c r="Z233" s="461">
        <f>X233*RevenueStreams!$D$25</f>
        <v>45</v>
      </c>
      <c r="AA233" s="457">
        <v>1</v>
      </c>
      <c r="AB233" s="460" t="str">
        <f>RevenueStreams!$E$25</f>
        <v>Per  Pallet</v>
      </c>
      <c r="AC233" s="461">
        <f>AA233*RevenueStreams!$D$25</f>
        <v>45</v>
      </c>
      <c r="AD233" s="457">
        <v>1</v>
      </c>
      <c r="AE233" s="460" t="str">
        <f>RevenueStreams!$E$25</f>
        <v>Per  Pallet</v>
      </c>
      <c r="AF233" s="461">
        <f>AD233*RevenueStreams!$D$25</f>
        <v>45</v>
      </c>
      <c r="AG233" s="457">
        <v>1</v>
      </c>
      <c r="AH233" s="460" t="str">
        <f>RevenueStreams!$E$25</f>
        <v>Per  Pallet</v>
      </c>
      <c r="AI233" s="461">
        <f>AG233*RevenueStreams!$D$25</f>
        <v>45</v>
      </c>
      <c r="AJ233" s="457">
        <v>1</v>
      </c>
      <c r="AK233" s="460" t="str">
        <f>RevenueStreams!$E$25</f>
        <v>Per  Pallet</v>
      </c>
      <c r="AL233" s="461">
        <f>AJ233*RevenueStreams!$D$25</f>
        <v>45</v>
      </c>
    </row>
    <row r="234" spans="1:38" x14ac:dyDescent="0.35">
      <c r="A234" s="471">
        <f t="shared" si="13"/>
        <v>6240</v>
      </c>
      <c r="B234" s="459" t="s">
        <v>519</v>
      </c>
      <c r="C234" s="457">
        <f>3*8*2</f>
        <v>48</v>
      </c>
      <c r="D234" s="460" t="str">
        <f>RevenueStreams!$E$26</f>
        <v>Per Hr</v>
      </c>
      <c r="E234" s="461">
        <f>C234*RevenueStreams!$D$26</f>
        <v>480</v>
      </c>
      <c r="F234" s="457">
        <f>3*8*2</f>
        <v>48</v>
      </c>
      <c r="G234" s="460" t="str">
        <f>RevenueStreams!$E$26</f>
        <v>Per Hr</v>
      </c>
      <c r="H234" s="461">
        <f>F234*RevenueStreams!$D$26</f>
        <v>480</v>
      </c>
      <c r="I234" s="457">
        <f>3*8*2</f>
        <v>48</v>
      </c>
      <c r="J234" s="460" t="str">
        <f>RevenueStreams!$E$26</f>
        <v>Per Hr</v>
      </c>
      <c r="K234" s="461">
        <f>I234*RevenueStreams!$D$26</f>
        <v>480</v>
      </c>
      <c r="L234" s="457">
        <f>3*8*4</f>
        <v>96</v>
      </c>
      <c r="M234" s="460" t="str">
        <f>RevenueStreams!$E$26</f>
        <v>Per Hr</v>
      </c>
      <c r="N234" s="461">
        <f>L234*RevenueStreams!$D$26</f>
        <v>960</v>
      </c>
      <c r="O234" s="457">
        <f>3*8*4</f>
        <v>96</v>
      </c>
      <c r="P234" s="460" t="str">
        <f>RevenueStreams!$E$26</f>
        <v>Per Hr</v>
      </c>
      <c r="Q234" s="461">
        <f>O234*RevenueStreams!$D$26</f>
        <v>960</v>
      </c>
      <c r="R234" s="457">
        <f>3*8*4</f>
        <v>96</v>
      </c>
      <c r="S234" s="460" t="str">
        <f>RevenueStreams!$E$26</f>
        <v>Per Hr</v>
      </c>
      <c r="T234" s="461">
        <f>R234*RevenueStreams!$D$26</f>
        <v>960</v>
      </c>
      <c r="U234" s="457">
        <f>3*8*3</f>
        <v>72</v>
      </c>
      <c r="V234" s="460" t="str">
        <f>RevenueStreams!$E$26</f>
        <v>Per Hr</v>
      </c>
      <c r="W234" s="461">
        <f>U234*RevenueStreams!$D$26</f>
        <v>720</v>
      </c>
      <c r="X234" s="457">
        <v>24</v>
      </c>
      <c r="Y234" s="460" t="str">
        <f>RevenueStreams!$E$26</f>
        <v>Per Hr</v>
      </c>
      <c r="Z234" s="461">
        <f>X234*RevenueStreams!$D$26</f>
        <v>240</v>
      </c>
      <c r="AA234" s="457">
        <v>24</v>
      </c>
      <c r="AB234" s="460" t="str">
        <f>RevenueStreams!$E$26</f>
        <v>Per Hr</v>
      </c>
      <c r="AC234" s="461">
        <f>AA234*RevenueStreams!$D$26</f>
        <v>240</v>
      </c>
      <c r="AD234" s="457">
        <v>24</v>
      </c>
      <c r="AE234" s="460" t="str">
        <f>RevenueStreams!$E$26</f>
        <v>Per Hr</v>
      </c>
      <c r="AF234" s="461">
        <f>AD234*RevenueStreams!$D$26</f>
        <v>240</v>
      </c>
      <c r="AG234" s="457">
        <v>24</v>
      </c>
      <c r="AH234" s="460" t="str">
        <f>RevenueStreams!$E$26</f>
        <v>Per Hr</v>
      </c>
      <c r="AI234" s="461">
        <f>AG234*RevenueStreams!$D$26</f>
        <v>240</v>
      </c>
      <c r="AJ234" s="457">
        <v>24</v>
      </c>
      <c r="AK234" s="460" t="str">
        <f>RevenueStreams!$E$26</f>
        <v>Per Hr</v>
      </c>
      <c r="AL234" s="461">
        <f>AJ234*RevenueStreams!$D$26</f>
        <v>240</v>
      </c>
    </row>
    <row r="235" spans="1:38" x14ac:dyDescent="0.35">
      <c r="A235" s="471">
        <f t="shared" si="13"/>
        <v>6000</v>
      </c>
      <c r="B235" s="459" t="s">
        <v>492</v>
      </c>
      <c r="C235" s="457">
        <f>3*8*2</f>
        <v>48</v>
      </c>
      <c r="D235" s="460" t="str">
        <f>RevenueStreams!$E$27</f>
        <v>Per Hr</v>
      </c>
      <c r="E235" s="461">
        <f>C235*RevenueStreams!$D$27</f>
        <v>480</v>
      </c>
      <c r="F235" s="457">
        <f>3*8*2</f>
        <v>48</v>
      </c>
      <c r="G235" s="460" t="str">
        <f>RevenueStreams!$E$27</f>
        <v>Per Hr</v>
      </c>
      <c r="H235" s="461">
        <f>F235*RevenueStreams!$D$27</f>
        <v>480</v>
      </c>
      <c r="I235" s="457">
        <f>3*8*2</f>
        <v>48</v>
      </c>
      <c r="J235" s="460" t="str">
        <f>RevenueStreams!$E$27</f>
        <v>Per Hr</v>
      </c>
      <c r="K235" s="461">
        <f>I235*RevenueStreams!$D$27</f>
        <v>480</v>
      </c>
      <c r="L235" s="457">
        <f>4*8*2</f>
        <v>64</v>
      </c>
      <c r="M235" s="460" t="str">
        <f>RevenueStreams!$E$27</f>
        <v>Per Hr</v>
      </c>
      <c r="N235" s="461">
        <f>L235*RevenueStreams!$D$27</f>
        <v>640</v>
      </c>
      <c r="O235" s="457">
        <f>4*8*2</f>
        <v>64</v>
      </c>
      <c r="P235" s="460" t="str">
        <f>RevenueStreams!$E$27</f>
        <v>Per Hr</v>
      </c>
      <c r="Q235" s="461">
        <f>O235*RevenueStreams!$D$27</f>
        <v>640</v>
      </c>
      <c r="R235" s="457">
        <f>4*8*2</f>
        <v>64</v>
      </c>
      <c r="S235" s="460" t="str">
        <f>RevenueStreams!$E$27</f>
        <v>Per Hr</v>
      </c>
      <c r="T235" s="461">
        <f>R235*RevenueStreams!$D$27</f>
        <v>640</v>
      </c>
      <c r="U235" s="457">
        <f>4*8*2</f>
        <v>64</v>
      </c>
      <c r="V235" s="460" t="str">
        <f>RevenueStreams!$E$27</f>
        <v>Per Hr</v>
      </c>
      <c r="W235" s="461">
        <f>U235*RevenueStreams!$D$27</f>
        <v>640</v>
      </c>
      <c r="X235" s="457">
        <f>4*8*2</f>
        <v>64</v>
      </c>
      <c r="Y235" s="460" t="str">
        <f>RevenueStreams!$E$27</f>
        <v>Per Hr</v>
      </c>
      <c r="Z235" s="461">
        <f>X235*RevenueStreams!$D$27</f>
        <v>640</v>
      </c>
      <c r="AA235" s="457">
        <f>4*8*2</f>
        <v>64</v>
      </c>
      <c r="AB235" s="460" t="str">
        <f>RevenueStreams!$E$27</f>
        <v>Per Hr</v>
      </c>
      <c r="AC235" s="461">
        <f>AA235*RevenueStreams!$D$27</f>
        <v>640</v>
      </c>
      <c r="AD235" s="457">
        <v>24</v>
      </c>
      <c r="AE235" s="460" t="str">
        <f>RevenueStreams!$E$27</f>
        <v>Per Hr</v>
      </c>
      <c r="AF235" s="461">
        <f>AD235*RevenueStreams!$D$27</f>
        <v>240</v>
      </c>
      <c r="AG235" s="457">
        <v>24</v>
      </c>
      <c r="AH235" s="460" t="str">
        <f>RevenueStreams!$E$27</f>
        <v>Per Hr</v>
      </c>
      <c r="AI235" s="461">
        <f>AG235*RevenueStreams!$D$27</f>
        <v>240</v>
      </c>
      <c r="AJ235" s="457">
        <v>24</v>
      </c>
      <c r="AK235" s="460" t="str">
        <f>RevenueStreams!$E$27</f>
        <v>Per Hr</v>
      </c>
      <c r="AL235" s="461">
        <f>AJ235*RevenueStreams!$D$27</f>
        <v>240</v>
      </c>
    </row>
    <row r="236" spans="1:38" x14ac:dyDescent="0.35">
      <c r="A236" s="471">
        <f t="shared" si="13"/>
        <v>0</v>
      </c>
      <c r="B236" s="459" t="s">
        <v>502</v>
      </c>
      <c r="C236" s="457">
        <v>0</v>
      </c>
      <c r="D236" s="460" t="str">
        <f>RevenueStreams!$E$29</f>
        <v>Per Hr</v>
      </c>
      <c r="E236" s="461">
        <f>C236*RevenueStreams!$D$29</f>
        <v>0</v>
      </c>
      <c r="F236" s="457">
        <v>0</v>
      </c>
      <c r="G236" s="460" t="str">
        <f>RevenueStreams!$E$29</f>
        <v>Per Hr</v>
      </c>
      <c r="H236" s="461">
        <f>F236*RevenueStreams!$D$29</f>
        <v>0</v>
      </c>
      <c r="I236" s="457">
        <v>0</v>
      </c>
      <c r="J236" s="460" t="str">
        <f>RevenueStreams!$E$29</f>
        <v>Per Hr</v>
      </c>
      <c r="K236" s="461">
        <f>I236*RevenueStreams!$D$29</f>
        <v>0</v>
      </c>
      <c r="L236" s="457">
        <v>0</v>
      </c>
      <c r="M236" s="460" t="str">
        <f>RevenueStreams!$E$29</f>
        <v>Per Hr</v>
      </c>
      <c r="N236" s="461">
        <f>L236*RevenueStreams!$D$29</f>
        <v>0</v>
      </c>
      <c r="O236" s="457">
        <v>0</v>
      </c>
      <c r="P236" s="460" t="str">
        <f>RevenueStreams!$E$29</f>
        <v>Per Hr</v>
      </c>
      <c r="Q236" s="461">
        <f>O236*RevenueStreams!$D$29</f>
        <v>0</v>
      </c>
      <c r="R236" s="457">
        <v>0</v>
      </c>
      <c r="S236" s="460" t="str">
        <f>RevenueStreams!$E$29</f>
        <v>Per Hr</v>
      </c>
      <c r="T236" s="461">
        <f>R236*RevenueStreams!$D$29</f>
        <v>0</v>
      </c>
      <c r="U236" s="457">
        <v>0</v>
      </c>
      <c r="V236" s="460" t="str">
        <f>RevenueStreams!$E$29</f>
        <v>Per Hr</v>
      </c>
      <c r="W236" s="461">
        <f>U236*RevenueStreams!$D$29</f>
        <v>0</v>
      </c>
      <c r="X236" s="457">
        <v>0</v>
      </c>
      <c r="Y236" s="460" t="str">
        <f>RevenueStreams!$E$29</f>
        <v>Per Hr</v>
      </c>
      <c r="Z236" s="461">
        <f>X236*RevenueStreams!$D$29</f>
        <v>0</v>
      </c>
      <c r="AA236" s="457">
        <v>0</v>
      </c>
      <c r="AB236" s="460" t="str">
        <f>RevenueStreams!$E$29</f>
        <v>Per Hr</v>
      </c>
      <c r="AC236" s="461">
        <f>AA236*RevenueStreams!$D$29</f>
        <v>0</v>
      </c>
      <c r="AD236" s="457">
        <v>0</v>
      </c>
      <c r="AE236" s="460" t="str">
        <f>RevenueStreams!$E$29</f>
        <v>Per Hr</v>
      </c>
      <c r="AF236" s="461">
        <f>AD236*RevenueStreams!$D$29</f>
        <v>0</v>
      </c>
      <c r="AG236" s="457">
        <v>0</v>
      </c>
      <c r="AH236" s="460" t="str">
        <f>RevenueStreams!$E$29</f>
        <v>Per Hr</v>
      </c>
      <c r="AI236" s="461">
        <f>AG236*RevenueStreams!$D$29</f>
        <v>0</v>
      </c>
      <c r="AJ236" s="457">
        <v>0</v>
      </c>
      <c r="AK236" s="460" t="str">
        <f>RevenueStreams!$E$29</f>
        <v>Per Hr</v>
      </c>
      <c r="AL236" s="461">
        <f>AJ236*RevenueStreams!$D$29</f>
        <v>0</v>
      </c>
    </row>
    <row r="237" spans="1:38" x14ac:dyDescent="0.35">
      <c r="A237" s="471">
        <f t="shared" si="13"/>
        <v>0</v>
      </c>
      <c r="B237" s="459" t="s">
        <v>503</v>
      </c>
      <c r="C237" s="457">
        <v>0</v>
      </c>
      <c r="D237" s="460" t="str">
        <f>RevenueStreams!$E$30</f>
        <v>Per Hr</v>
      </c>
      <c r="E237" s="461">
        <f>C237*RevenueStreams!$D$30</f>
        <v>0</v>
      </c>
      <c r="F237" s="457">
        <v>0</v>
      </c>
      <c r="G237" s="460" t="str">
        <f>RevenueStreams!$E$30</f>
        <v>Per Hr</v>
      </c>
      <c r="H237" s="461">
        <f>F237*RevenueStreams!$D$30</f>
        <v>0</v>
      </c>
      <c r="I237" s="457">
        <v>0</v>
      </c>
      <c r="J237" s="460" t="str">
        <f>RevenueStreams!$E$30</f>
        <v>Per Hr</v>
      </c>
      <c r="K237" s="461">
        <f>I237*RevenueStreams!$D$30</f>
        <v>0</v>
      </c>
      <c r="L237" s="457">
        <v>0</v>
      </c>
      <c r="M237" s="460" t="str">
        <f>RevenueStreams!$E$30</f>
        <v>Per Hr</v>
      </c>
      <c r="N237" s="461">
        <f>L237*RevenueStreams!$D$30</f>
        <v>0</v>
      </c>
      <c r="O237" s="457">
        <v>0</v>
      </c>
      <c r="P237" s="460" t="str">
        <f>RevenueStreams!$E$30</f>
        <v>Per Hr</v>
      </c>
      <c r="Q237" s="461">
        <f>O237*RevenueStreams!$D$30</f>
        <v>0</v>
      </c>
      <c r="R237" s="457">
        <v>0</v>
      </c>
      <c r="S237" s="460" t="str">
        <f>RevenueStreams!$E$30</f>
        <v>Per Hr</v>
      </c>
      <c r="T237" s="461">
        <f>R237*RevenueStreams!$D$30</f>
        <v>0</v>
      </c>
      <c r="U237" s="457">
        <v>0</v>
      </c>
      <c r="V237" s="460" t="str">
        <f>RevenueStreams!$E$30</f>
        <v>Per Hr</v>
      </c>
      <c r="W237" s="461">
        <f>U237*RevenueStreams!$D$30</f>
        <v>0</v>
      </c>
      <c r="X237" s="457">
        <v>0</v>
      </c>
      <c r="Y237" s="460" t="str">
        <f>RevenueStreams!$E$30</f>
        <v>Per Hr</v>
      </c>
      <c r="Z237" s="461">
        <f>X237*RevenueStreams!$D$30</f>
        <v>0</v>
      </c>
      <c r="AA237" s="457">
        <v>0</v>
      </c>
      <c r="AB237" s="460" t="str">
        <f>RevenueStreams!$E$30</f>
        <v>Per Hr</v>
      </c>
      <c r="AC237" s="461">
        <f>AA237*RevenueStreams!$D$30</f>
        <v>0</v>
      </c>
      <c r="AD237" s="457">
        <v>0</v>
      </c>
      <c r="AE237" s="460" t="str">
        <f>RevenueStreams!$E$30</f>
        <v>Per Hr</v>
      </c>
      <c r="AF237" s="461">
        <f>AD237*RevenueStreams!$D$30</f>
        <v>0</v>
      </c>
      <c r="AG237" s="457">
        <v>0</v>
      </c>
      <c r="AH237" s="460" t="str">
        <f>RevenueStreams!$E$30</f>
        <v>Per Hr</v>
      </c>
      <c r="AI237" s="461">
        <f>AG237*RevenueStreams!$D$30</f>
        <v>0</v>
      </c>
      <c r="AJ237" s="457">
        <v>0</v>
      </c>
      <c r="AK237" s="460" t="str">
        <f>RevenueStreams!$E$30</f>
        <v>Per Hr</v>
      </c>
      <c r="AL237" s="461">
        <f>AJ237*RevenueStreams!$D$30</f>
        <v>0</v>
      </c>
    </row>
    <row r="238" spans="1:38" x14ac:dyDescent="0.35">
      <c r="A238" s="471">
        <f t="shared" si="13"/>
        <v>2522.308</v>
      </c>
      <c r="B238" s="459" t="s">
        <v>507</v>
      </c>
      <c r="C238" s="457">
        <v>0</v>
      </c>
      <c r="D238" s="460" t="str">
        <f>RevenueStreams!$E$31</f>
        <v>Per Hr</v>
      </c>
      <c r="E238" s="461">
        <f>C238*RevenueStreams!$D$31</f>
        <v>0</v>
      </c>
      <c r="F238" s="457">
        <v>0</v>
      </c>
      <c r="G238" s="460" t="str">
        <f>RevenueStreams!$E$31</f>
        <v>Per Hr</v>
      </c>
      <c r="H238" s="461">
        <f>F238*RevenueStreams!$D$31</f>
        <v>0</v>
      </c>
      <c r="I238" s="457">
        <v>0</v>
      </c>
      <c r="J238" s="460" t="str">
        <f>RevenueStreams!$E$31</f>
        <v>Per Hr</v>
      </c>
      <c r="K238" s="461">
        <f>I238*RevenueStreams!$D$31</f>
        <v>0</v>
      </c>
      <c r="L238" s="457">
        <v>0</v>
      </c>
      <c r="M238" s="460" t="str">
        <f>RevenueStreams!$E$31</f>
        <v>Per Hr</v>
      </c>
      <c r="N238" s="461">
        <f>L238*RevenueStreams!$D$31</f>
        <v>0</v>
      </c>
      <c r="O238" s="457">
        <v>0</v>
      </c>
      <c r="P238" s="460" t="str">
        <f>RevenueStreams!$E$31</f>
        <v>Per Hr</v>
      </c>
      <c r="Q238" s="461">
        <f>O238*RevenueStreams!$D$31</f>
        <v>0</v>
      </c>
      <c r="R238" s="457">
        <f>8*2*1</f>
        <v>16</v>
      </c>
      <c r="S238" s="460" t="str">
        <f>RevenueStreams!$E$31</f>
        <v>Per Hr</v>
      </c>
      <c r="T238" s="461">
        <f>R238*RevenueStreams!$D$31</f>
        <v>1261.154</v>
      </c>
      <c r="U238" s="457">
        <f>8*2*1</f>
        <v>16</v>
      </c>
      <c r="V238" s="460" t="str">
        <f>RevenueStreams!$E$31</f>
        <v>Per Hr</v>
      </c>
      <c r="W238" s="461">
        <f>U238*RevenueStreams!$D$31</f>
        <v>1261.154</v>
      </c>
      <c r="X238" s="457">
        <v>0</v>
      </c>
      <c r="Y238" s="460" t="str">
        <f>RevenueStreams!$E$31</f>
        <v>Per Hr</v>
      </c>
      <c r="Z238" s="461">
        <f>X238*RevenueStreams!$D$31</f>
        <v>0</v>
      </c>
      <c r="AA238" s="457">
        <v>0</v>
      </c>
      <c r="AB238" s="460" t="str">
        <f>RevenueStreams!$E$31</f>
        <v>Per Hr</v>
      </c>
      <c r="AC238" s="461">
        <f>AA238*RevenueStreams!$D$31</f>
        <v>0</v>
      </c>
      <c r="AD238" s="457">
        <v>0</v>
      </c>
      <c r="AE238" s="460" t="str">
        <f>RevenueStreams!$E$31</f>
        <v>Per Hr</v>
      </c>
      <c r="AF238" s="461">
        <f>AD238*RevenueStreams!$D$31</f>
        <v>0</v>
      </c>
      <c r="AG238" s="457">
        <v>0</v>
      </c>
      <c r="AH238" s="460" t="str">
        <f>RevenueStreams!$E$31</f>
        <v>Per Hr</v>
      </c>
      <c r="AI238" s="461">
        <f>AG238*RevenueStreams!$D$31</f>
        <v>0</v>
      </c>
      <c r="AJ238" s="457">
        <v>0</v>
      </c>
      <c r="AK238" s="460" t="str">
        <f>RevenueStreams!$E$31</f>
        <v>Per Hr</v>
      </c>
      <c r="AL238" s="461">
        <f>AJ238*RevenueStreams!$D$31</f>
        <v>0</v>
      </c>
    </row>
    <row r="239" spans="1:38" x14ac:dyDescent="0.35">
      <c r="A239" s="471">
        <f t="shared" si="13"/>
        <v>0</v>
      </c>
      <c r="B239" s="459" t="s">
        <v>506</v>
      </c>
      <c r="C239" s="457">
        <v>0</v>
      </c>
      <c r="D239" s="460" t="str">
        <f>RevenueStreams!$E$32</f>
        <v>Per Hr</v>
      </c>
      <c r="E239" s="461">
        <f>C239*RevenueStreams!$D$32</f>
        <v>0</v>
      </c>
      <c r="F239" s="457">
        <v>0</v>
      </c>
      <c r="G239" s="460" t="str">
        <f>RevenueStreams!$E$32</f>
        <v>Per Hr</v>
      </c>
      <c r="H239" s="461">
        <f>F239*RevenueStreams!$D$32</f>
        <v>0</v>
      </c>
      <c r="I239" s="457">
        <v>0</v>
      </c>
      <c r="J239" s="460" t="str">
        <f>RevenueStreams!$E$32</f>
        <v>Per Hr</v>
      </c>
      <c r="K239" s="461">
        <f>I239*RevenueStreams!$D$32</f>
        <v>0</v>
      </c>
      <c r="L239" s="457">
        <v>0</v>
      </c>
      <c r="M239" s="460" t="str">
        <f>RevenueStreams!$E$32</f>
        <v>Per Hr</v>
      </c>
      <c r="N239" s="461">
        <f>L239*RevenueStreams!$D$32</f>
        <v>0</v>
      </c>
      <c r="O239" s="457">
        <v>0</v>
      </c>
      <c r="P239" s="460" t="str">
        <f>RevenueStreams!$E$32</f>
        <v>Per Hr</v>
      </c>
      <c r="Q239" s="461">
        <f>O239*RevenueStreams!$D$32</f>
        <v>0</v>
      </c>
      <c r="R239" s="457">
        <v>0</v>
      </c>
      <c r="S239" s="460" t="str">
        <f>RevenueStreams!$E$32</f>
        <v>Per Hr</v>
      </c>
      <c r="T239" s="461">
        <f>R239*RevenueStreams!$D$32</f>
        <v>0</v>
      </c>
      <c r="U239" s="457">
        <v>0</v>
      </c>
      <c r="V239" s="460" t="str">
        <f>RevenueStreams!$E$32</f>
        <v>Per Hr</v>
      </c>
      <c r="W239" s="461">
        <f>U239*RevenueStreams!$D$32</f>
        <v>0</v>
      </c>
      <c r="X239" s="457">
        <v>0</v>
      </c>
      <c r="Y239" s="460" t="str">
        <f>RevenueStreams!$E$32</f>
        <v>Per Hr</v>
      </c>
      <c r="Z239" s="461">
        <f>X239*RevenueStreams!$D$32</f>
        <v>0</v>
      </c>
      <c r="AA239" s="457">
        <v>0</v>
      </c>
      <c r="AB239" s="460" t="str">
        <f>RevenueStreams!$E$32</f>
        <v>Per Hr</v>
      </c>
      <c r="AC239" s="461">
        <f>AA239*RevenueStreams!$D$32</f>
        <v>0</v>
      </c>
      <c r="AD239" s="457">
        <v>0</v>
      </c>
      <c r="AE239" s="460" t="str">
        <f>RevenueStreams!$E$32</f>
        <v>Per Hr</v>
      </c>
      <c r="AF239" s="461">
        <f>AD239*RevenueStreams!$D$32</f>
        <v>0</v>
      </c>
      <c r="AG239" s="457">
        <v>0</v>
      </c>
      <c r="AH239" s="460" t="str">
        <f>RevenueStreams!$E$32</f>
        <v>Per Hr</v>
      </c>
      <c r="AI239" s="461">
        <f>AG239*RevenueStreams!$D$32</f>
        <v>0</v>
      </c>
      <c r="AJ239" s="457">
        <v>0</v>
      </c>
      <c r="AK239" s="460" t="str">
        <f>RevenueStreams!$E$32</f>
        <v>Per Hr</v>
      </c>
      <c r="AL239" s="461">
        <f>AJ239*RevenueStreams!$D$32</f>
        <v>0</v>
      </c>
    </row>
    <row r="240" spans="1:38" x14ac:dyDescent="0.35">
      <c r="A240" s="471">
        <f t="shared" si="13"/>
        <v>8924.9279999999981</v>
      </c>
      <c r="B240" s="459" t="s">
        <v>508</v>
      </c>
      <c r="C240" s="457">
        <f>8*3*2</f>
        <v>48</v>
      </c>
      <c r="D240" s="460" t="str">
        <f>RevenueStreams!$E$33</f>
        <v>Per Hr</v>
      </c>
      <c r="E240" s="461">
        <f>C240*RevenueStreams!$D$33</f>
        <v>743.74400000000003</v>
      </c>
      <c r="F240" s="457">
        <f>8*3*2</f>
        <v>48</v>
      </c>
      <c r="G240" s="460" t="str">
        <f>RevenueStreams!$E$33</f>
        <v>Per Hr</v>
      </c>
      <c r="H240" s="461">
        <f>F240*RevenueStreams!$D$33</f>
        <v>743.74400000000003</v>
      </c>
      <c r="I240" s="457">
        <f>8*3*2</f>
        <v>48</v>
      </c>
      <c r="J240" s="460" t="str">
        <f>RevenueStreams!$E$33</f>
        <v>Per Hr</v>
      </c>
      <c r="K240" s="461">
        <f>I240*RevenueStreams!$D$33</f>
        <v>743.74400000000003</v>
      </c>
      <c r="L240" s="457">
        <f>8*3*2</f>
        <v>48</v>
      </c>
      <c r="M240" s="460" t="str">
        <f>RevenueStreams!$E$33</f>
        <v>Per Hr</v>
      </c>
      <c r="N240" s="461">
        <f>L240*RevenueStreams!$D$33</f>
        <v>743.74400000000003</v>
      </c>
      <c r="O240" s="457">
        <f>8*3*2</f>
        <v>48</v>
      </c>
      <c r="P240" s="460" t="str">
        <f>RevenueStreams!$E$33</f>
        <v>Per Hr</v>
      </c>
      <c r="Q240" s="461">
        <f>O240*RevenueStreams!$D$33</f>
        <v>743.74400000000003</v>
      </c>
      <c r="R240" s="457">
        <f>8*3*2</f>
        <v>48</v>
      </c>
      <c r="S240" s="460" t="str">
        <f>RevenueStreams!$E$33</f>
        <v>Per Hr</v>
      </c>
      <c r="T240" s="461">
        <f>R240*RevenueStreams!$D$33</f>
        <v>743.74400000000003</v>
      </c>
      <c r="U240" s="457">
        <f>8*3*2</f>
        <v>48</v>
      </c>
      <c r="V240" s="460" t="str">
        <f>RevenueStreams!$E$33</f>
        <v>Per Hr</v>
      </c>
      <c r="W240" s="461">
        <f>U240*RevenueStreams!$D$33</f>
        <v>743.74400000000003</v>
      </c>
      <c r="X240" s="457">
        <f>8*3*2</f>
        <v>48</v>
      </c>
      <c r="Y240" s="460" t="str">
        <f>RevenueStreams!$E$33</f>
        <v>Per Hr</v>
      </c>
      <c r="Z240" s="461">
        <f>X240*RevenueStreams!$D$33</f>
        <v>743.74400000000003</v>
      </c>
      <c r="AA240" s="457">
        <f>8*3*2</f>
        <v>48</v>
      </c>
      <c r="AB240" s="460" t="str">
        <f>RevenueStreams!$E$33</f>
        <v>Per Hr</v>
      </c>
      <c r="AC240" s="461">
        <f>AA240*RevenueStreams!$D$33</f>
        <v>743.74400000000003</v>
      </c>
      <c r="AD240" s="457">
        <f>8*3*2</f>
        <v>48</v>
      </c>
      <c r="AE240" s="460" t="str">
        <f>RevenueStreams!$E$33</f>
        <v>Per Hr</v>
      </c>
      <c r="AF240" s="461">
        <f>AD240*RevenueStreams!$D$33</f>
        <v>743.74400000000003</v>
      </c>
      <c r="AG240" s="457">
        <f>8*3*2</f>
        <v>48</v>
      </c>
      <c r="AH240" s="460" t="str">
        <f>RevenueStreams!$E$33</f>
        <v>Per Hr</v>
      </c>
      <c r="AI240" s="461">
        <f>AG240*RevenueStreams!$D$33</f>
        <v>743.74400000000003</v>
      </c>
      <c r="AJ240" s="457">
        <f>8*3*2</f>
        <v>48</v>
      </c>
      <c r="AK240" s="460" t="str">
        <f>RevenueStreams!$E$33</f>
        <v>Per Hr</v>
      </c>
      <c r="AL240" s="461">
        <f>AJ240*RevenueStreams!$D$33</f>
        <v>743.74400000000003</v>
      </c>
    </row>
    <row r="241" spans="1:41" x14ac:dyDescent="0.35">
      <c r="A241" s="471">
        <f>SUM(E241,H241,K241,N241,Q241,T241,W241,Z241,AC241,AF241,AI241,AL241)</f>
        <v>9600</v>
      </c>
      <c r="B241" s="459" t="s">
        <v>520</v>
      </c>
      <c r="C241" s="457">
        <f>1*8*2</f>
        <v>16</v>
      </c>
      <c r="D241" s="460" t="str">
        <f>RevenueStreams!$E$34</f>
        <v>Per Hr</v>
      </c>
      <c r="E241" s="461">
        <f>C241*RevenueStreams!$D$34</f>
        <v>800</v>
      </c>
      <c r="F241" s="457">
        <f>1*8*2</f>
        <v>16</v>
      </c>
      <c r="G241" s="460" t="str">
        <f>RevenueStreams!$E$34</f>
        <v>Per Hr</v>
      </c>
      <c r="H241" s="461">
        <f>F241*RevenueStreams!$D$34</f>
        <v>800</v>
      </c>
      <c r="I241" s="457">
        <f>1*8*2</f>
        <v>16</v>
      </c>
      <c r="J241" s="460" t="str">
        <f>RevenueStreams!$E$34</f>
        <v>Per Hr</v>
      </c>
      <c r="K241" s="461">
        <f>I241*RevenueStreams!$D$34</f>
        <v>800</v>
      </c>
      <c r="L241" s="457">
        <f>1*8*2</f>
        <v>16</v>
      </c>
      <c r="M241" s="460" t="str">
        <f>RevenueStreams!$E$34</f>
        <v>Per Hr</v>
      </c>
      <c r="N241" s="461">
        <f>L241*RevenueStreams!$D$34</f>
        <v>800</v>
      </c>
      <c r="O241" s="457">
        <f>1*8*2</f>
        <v>16</v>
      </c>
      <c r="P241" s="460" t="str">
        <f>RevenueStreams!$E$34</f>
        <v>Per Hr</v>
      </c>
      <c r="Q241" s="461">
        <f>O241*RevenueStreams!$D$34</f>
        <v>800</v>
      </c>
      <c r="R241" s="457">
        <f>1*8*2</f>
        <v>16</v>
      </c>
      <c r="S241" s="460" t="str">
        <f>RevenueStreams!$E$34</f>
        <v>Per Hr</v>
      </c>
      <c r="T241" s="461">
        <f>R241*RevenueStreams!$D$34</f>
        <v>800</v>
      </c>
      <c r="U241" s="457">
        <f>1*8*2</f>
        <v>16</v>
      </c>
      <c r="V241" s="460" t="str">
        <f>RevenueStreams!$E$34</f>
        <v>Per Hr</v>
      </c>
      <c r="W241" s="461">
        <f>U241*RevenueStreams!$D$34</f>
        <v>800</v>
      </c>
      <c r="X241" s="457">
        <f>1*8*2</f>
        <v>16</v>
      </c>
      <c r="Y241" s="460" t="str">
        <f>RevenueStreams!$E$34</f>
        <v>Per Hr</v>
      </c>
      <c r="Z241" s="461">
        <f>X241*RevenueStreams!$D$34</f>
        <v>800</v>
      </c>
      <c r="AA241" s="457">
        <f>1*8*2</f>
        <v>16</v>
      </c>
      <c r="AB241" s="460" t="str">
        <f>RevenueStreams!$E$34</f>
        <v>Per Hr</v>
      </c>
      <c r="AC241" s="461">
        <f>AA241*RevenueStreams!$D$34</f>
        <v>800</v>
      </c>
      <c r="AD241" s="457">
        <f>1*8*2</f>
        <v>16</v>
      </c>
      <c r="AE241" s="460" t="str">
        <f>RevenueStreams!$E$34</f>
        <v>Per Hr</v>
      </c>
      <c r="AF241" s="461">
        <f>AD241*RevenueStreams!$D$34</f>
        <v>800</v>
      </c>
      <c r="AG241" s="457">
        <f>1*8*2</f>
        <v>16</v>
      </c>
      <c r="AH241" s="460" t="str">
        <f>RevenueStreams!$E$34</f>
        <v>Per Hr</v>
      </c>
      <c r="AI241" s="461">
        <f>AG241*RevenueStreams!$D$34</f>
        <v>800</v>
      </c>
      <c r="AJ241" s="457">
        <f>1*8*2</f>
        <v>16</v>
      </c>
      <c r="AK241" s="460" t="str">
        <f>RevenueStreams!$E$34</f>
        <v>Per Hr</v>
      </c>
      <c r="AL241" s="461">
        <f>AJ241*RevenueStreams!$D$34</f>
        <v>800</v>
      </c>
    </row>
    <row r="242" spans="1:41" x14ac:dyDescent="0.35">
      <c r="A242" s="472"/>
      <c r="B242" s="459" t="s">
        <v>499</v>
      </c>
      <c r="C242" s="457">
        <v>0</v>
      </c>
      <c r="D242" s="460" t="str">
        <f>RevenueStreams!$E$36</f>
        <v>% of Charged</v>
      </c>
      <c r="E242" s="461">
        <f>C242*RevenueStreams!$D$36</f>
        <v>0</v>
      </c>
      <c r="F242" s="457">
        <v>0</v>
      </c>
      <c r="G242" s="460" t="str">
        <f>RevenueStreams!$E$36</f>
        <v>% of Charged</v>
      </c>
      <c r="H242" s="461">
        <f>F242*RevenueStreams!$D$36</f>
        <v>0</v>
      </c>
      <c r="I242" s="457">
        <v>0</v>
      </c>
      <c r="J242" s="460" t="str">
        <f>RevenueStreams!$E$36</f>
        <v>% of Charged</v>
      </c>
      <c r="K242" s="461">
        <f>I242*RevenueStreams!$D$36</f>
        <v>0</v>
      </c>
      <c r="L242" s="457">
        <v>0</v>
      </c>
      <c r="M242" s="460" t="str">
        <f>RevenueStreams!$E$36</f>
        <v>% of Charged</v>
      </c>
      <c r="N242" s="461">
        <f>L242*RevenueStreams!$D$36</f>
        <v>0</v>
      </c>
      <c r="O242" s="457">
        <v>0</v>
      </c>
      <c r="P242" s="460" t="str">
        <f>RevenueStreams!$E$36</f>
        <v>% of Charged</v>
      </c>
      <c r="Q242" s="461">
        <f>O242*RevenueStreams!$D$36</f>
        <v>0</v>
      </c>
      <c r="R242" s="457">
        <v>0</v>
      </c>
      <c r="S242" s="460" t="str">
        <f>RevenueStreams!$E$36</f>
        <v>% of Charged</v>
      </c>
      <c r="T242" s="461">
        <f>R242*RevenueStreams!$D$36</f>
        <v>0</v>
      </c>
      <c r="U242" s="457">
        <v>0</v>
      </c>
      <c r="V242" s="460" t="str">
        <f>RevenueStreams!$E$36</f>
        <v>% of Charged</v>
      </c>
      <c r="W242" s="461">
        <f>U242*RevenueStreams!$D$36</f>
        <v>0</v>
      </c>
      <c r="X242" s="457">
        <v>0</v>
      </c>
      <c r="Y242" s="460" t="str">
        <f>RevenueStreams!$E$36</f>
        <v>% of Charged</v>
      </c>
      <c r="Z242" s="461">
        <f>X242*RevenueStreams!$D$36</f>
        <v>0</v>
      </c>
      <c r="AA242" s="457">
        <v>0</v>
      </c>
      <c r="AB242" s="460" t="str">
        <f>RevenueStreams!$E$36</f>
        <v>% of Charged</v>
      </c>
      <c r="AC242" s="461">
        <f>AA242*RevenueStreams!$D$36</f>
        <v>0</v>
      </c>
      <c r="AD242" s="457">
        <v>0</v>
      </c>
      <c r="AE242" s="460" t="str">
        <f>RevenueStreams!$E$36</f>
        <v>% of Charged</v>
      </c>
      <c r="AF242" s="461">
        <f>AD242*RevenueStreams!$D$36</f>
        <v>0</v>
      </c>
      <c r="AG242" s="457">
        <v>0</v>
      </c>
      <c r="AH242" s="460" t="str">
        <f>RevenueStreams!$E$36</f>
        <v>% of Charged</v>
      </c>
      <c r="AI242" s="461">
        <f>AG242*RevenueStreams!$D$36</f>
        <v>0</v>
      </c>
      <c r="AJ242" s="457">
        <v>0</v>
      </c>
      <c r="AK242" s="460" t="str">
        <f>RevenueStreams!$E$36</f>
        <v>% of Charged</v>
      </c>
      <c r="AL242" s="461">
        <f>AJ242*RevenueStreams!$D$36</f>
        <v>0</v>
      </c>
    </row>
    <row r="243" spans="1:41" x14ac:dyDescent="0.35">
      <c r="A243" s="469">
        <f>SUM(E243,H243,K243,N243,Q243,T243,W243,Z243,AC243,AF243,AI243,AL243)</f>
        <v>52559.235999999997</v>
      </c>
      <c r="B243" s="509" t="s">
        <v>706</v>
      </c>
      <c r="C243" s="519">
        <f>SUM(C220:C242)</f>
        <v>167</v>
      </c>
      <c r="D243" s="511"/>
      <c r="E243" s="510">
        <f>SUM(E220:E242)</f>
        <v>4109.7440000000006</v>
      </c>
      <c r="F243" s="519">
        <f>SUM(F220:F242)</f>
        <v>167</v>
      </c>
      <c r="G243" s="511"/>
      <c r="H243" s="510">
        <f>SUM(H220:H242)</f>
        <v>4109.7440000000006</v>
      </c>
      <c r="I243" s="519">
        <f>SUM(I220:I242)</f>
        <v>167</v>
      </c>
      <c r="J243" s="511"/>
      <c r="K243" s="510">
        <f>SUM(K220:K242)</f>
        <v>4109.7440000000006</v>
      </c>
      <c r="L243" s="519">
        <f>SUM(L220:L242)</f>
        <v>231</v>
      </c>
      <c r="M243" s="511"/>
      <c r="N243" s="510">
        <f>SUM(N220:N242)</f>
        <v>4749.7440000000006</v>
      </c>
      <c r="O243" s="519">
        <f>SUM(O220:O242)</f>
        <v>231</v>
      </c>
      <c r="P243" s="511"/>
      <c r="Q243" s="510">
        <f>SUM(Q220:Q242)</f>
        <v>4749.7440000000006</v>
      </c>
      <c r="R243" s="519">
        <f>SUM(R220:R242)</f>
        <v>247</v>
      </c>
      <c r="S243" s="511"/>
      <c r="T243" s="510">
        <f>SUM(T220:T242)</f>
        <v>6010.8980000000001</v>
      </c>
      <c r="U243" s="519">
        <f>SUM(U220:U242)</f>
        <v>223</v>
      </c>
      <c r="V243" s="511"/>
      <c r="W243" s="510">
        <f>SUM(W220:W242)</f>
        <v>5770.8980000000001</v>
      </c>
      <c r="X243" s="519">
        <f>SUM(X220:X242)</f>
        <v>159</v>
      </c>
      <c r="Y243" s="511"/>
      <c r="Z243" s="510">
        <f>SUM(Z220:Z242)</f>
        <v>4029.7440000000001</v>
      </c>
      <c r="AA243" s="519">
        <f>SUM(AA220:AA242)</f>
        <v>159</v>
      </c>
      <c r="AB243" s="511"/>
      <c r="AC243" s="510">
        <f>SUM(AC220:AC242)</f>
        <v>4029.7440000000001</v>
      </c>
      <c r="AD243" s="519">
        <f>SUM(AD220:AD242)</f>
        <v>119</v>
      </c>
      <c r="AE243" s="511"/>
      <c r="AF243" s="510">
        <f>SUM(AF220:AF242)</f>
        <v>3629.7440000000001</v>
      </c>
      <c r="AG243" s="519">
        <f>SUM(AG220:AG242)</f>
        <v>119</v>
      </c>
      <c r="AH243" s="511"/>
      <c r="AI243" s="510">
        <f>SUM(AI220:AI242)</f>
        <v>3629.7440000000001</v>
      </c>
      <c r="AJ243" s="519">
        <f>SUM(AJ220:AJ242)</f>
        <v>119</v>
      </c>
      <c r="AK243" s="511"/>
      <c r="AL243" s="510">
        <f>SUM(AL220:AL242)</f>
        <v>3629.7440000000001</v>
      </c>
    </row>
    <row r="245" spans="1:41" x14ac:dyDescent="0.35">
      <c r="A245" s="507" t="s">
        <v>653</v>
      </c>
      <c r="B245" s="508" t="s">
        <v>707</v>
      </c>
      <c r="C245" s="501" t="s">
        <v>33</v>
      </c>
      <c r="D245" s="502"/>
      <c r="E245" s="503" t="s">
        <v>320</v>
      </c>
      <c r="F245" s="501" t="s">
        <v>33</v>
      </c>
      <c r="G245" s="502"/>
      <c r="H245" s="503" t="s">
        <v>320</v>
      </c>
      <c r="I245" s="501" t="s">
        <v>33</v>
      </c>
      <c r="J245" s="502"/>
      <c r="K245" s="503" t="s">
        <v>320</v>
      </c>
      <c r="L245" s="501" t="s">
        <v>33</v>
      </c>
      <c r="M245" s="502"/>
      <c r="N245" s="503" t="s">
        <v>320</v>
      </c>
      <c r="O245" s="501" t="s">
        <v>33</v>
      </c>
      <c r="P245" s="502"/>
      <c r="Q245" s="503" t="s">
        <v>320</v>
      </c>
      <c r="R245" s="501" t="s">
        <v>33</v>
      </c>
      <c r="S245" s="502"/>
      <c r="T245" s="503" t="s">
        <v>320</v>
      </c>
      <c r="U245" s="501" t="s">
        <v>33</v>
      </c>
      <c r="V245" s="502"/>
      <c r="W245" s="503" t="s">
        <v>320</v>
      </c>
      <c r="X245" s="501" t="s">
        <v>33</v>
      </c>
      <c r="Y245" s="502"/>
      <c r="Z245" s="503" t="s">
        <v>320</v>
      </c>
      <c r="AA245" s="501" t="s">
        <v>33</v>
      </c>
      <c r="AB245" s="502"/>
      <c r="AC245" s="503" t="s">
        <v>320</v>
      </c>
      <c r="AD245" s="501" t="s">
        <v>33</v>
      </c>
      <c r="AE245" s="502"/>
      <c r="AF245" s="503" t="s">
        <v>320</v>
      </c>
      <c r="AG245" s="501" t="s">
        <v>33</v>
      </c>
      <c r="AH245" s="502"/>
      <c r="AI245" s="503" t="s">
        <v>320</v>
      </c>
      <c r="AJ245" s="501" t="s">
        <v>33</v>
      </c>
      <c r="AK245" s="502"/>
      <c r="AL245" s="503" t="s">
        <v>320</v>
      </c>
    </row>
    <row r="246" spans="1:41" x14ac:dyDescent="0.35">
      <c r="A246" s="471">
        <f>SUM(E246,H246,K246,N246,Q246,T246,W246,Z246,AC246,AF246,AI246,AL246)</f>
        <v>49308.480000000003</v>
      </c>
      <c r="B246" s="506">
        <f>Payroll!B215</f>
        <v>0</v>
      </c>
      <c r="C246" s="517">
        <v>120</v>
      </c>
      <c r="D246" s="504"/>
      <c r="E246" s="461">
        <f>C246*Payroll!$O$19/(50*5*8/12)</f>
        <v>4109.04</v>
      </c>
      <c r="F246" s="517">
        <v>120</v>
      </c>
      <c r="G246" s="504"/>
      <c r="H246" s="461">
        <f>F246*Payroll!$O$19/(50*5*8/12)</f>
        <v>4109.04</v>
      </c>
      <c r="I246" s="517">
        <v>120</v>
      </c>
      <c r="J246" s="504"/>
      <c r="K246" s="461">
        <f>I246*Payroll!$O$19/(50*5*8/12)</f>
        <v>4109.04</v>
      </c>
      <c r="L246" s="517">
        <v>120</v>
      </c>
      <c r="M246" s="504"/>
      <c r="N246" s="461">
        <f>L246*Payroll!$O$19/(50*5*8/12)</f>
        <v>4109.04</v>
      </c>
      <c r="O246" s="517">
        <v>120</v>
      </c>
      <c r="P246" s="504"/>
      <c r="Q246" s="461">
        <f>O246*Payroll!$O$19/(50*5*8/12)</f>
        <v>4109.04</v>
      </c>
      <c r="R246" s="517">
        <v>120</v>
      </c>
      <c r="S246" s="504"/>
      <c r="T246" s="461">
        <f>R246*Payroll!$O$19/(50*5*8/12)</f>
        <v>4109.04</v>
      </c>
      <c r="U246" s="517">
        <v>120</v>
      </c>
      <c r="V246" s="504"/>
      <c r="W246" s="461">
        <f>U246*Payroll!$O$19/(50*5*8/12)</f>
        <v>4109.04</v>
      </c>
      <c r="X246" s="517">
        <v>120</v>
      </c>
      <c r="Y246" s="504"/>
      <c r="Z246" s="461">
        <f>X246*Payroll!$O$19/(50*5*8/12)</f>
        <v>4109.04</v>
      </c>
      <c r="AA246" s="517">
        <v>120</v>
      </c>
      <c r="AB246" s="504"/>
      <c r="AC246" s="461">
        <f>AA246*Payroll!$O$19/(50*5*8/12)</f>
        <v>4109.04</v>
      </c>
      <c r="AD246" s="517">
        <v>120</v>
      </c>
      <c r="AE246" s="504"/>
      <c r="AF246" s="461">
        <f>AD246*Payroll!$O$19/(50*5*8/12)</f>
        <v>4109.04</v>
      </c>
      <c r="AG246" s="517">
        <v>120</v>
      </c>
      <c r="AH246" s="504"/>
      <c r="AI246" s="461">
        <f>AG246*Payroll!$O$19/(50*5*8/12)</f>
        <v>4109.04</v>
      </c>
      <c r="AJ246" s="517">
        <v>120</v>
      </c>
      <c r="AK246" s="504"/>
      <c r="AL246" s="461">
        <f>AJ246*Payroll!$O$19/(50*5*8/12)</f>
        <v>4109.04</v>
      </c>
      <c r="AN246" s="114" t="s">
        <v>744</v>
      </c>
      <c r="AO246" s="446">
        <f>SUM(A246:A252)</f>
        <v>98616.960000000006</v>
      </c>
    </row>
    <row r="247" spans="1:41" x14ac:dyDescent="0.35">
      <c r="A247" s="471">
        <f>SUM(E247,H247,K247,N247,Q247,T247,W247,Z247,AC247,AF247,AI247,AL247)</f>
        <v>0</v>
      </c>
      <c r="B247" s="506">
        <f>Payroll!B216</f>
        <v>0</v>
      </c>
      <c r="C247" s="517"/>
      <c r="D247" s="504"/>
      <c r="E247" s="461">
        <f>C247*Payroll!$O$19/(50*5*8/12)</f>
        <v>0</v>
      </c>
      <c r="F247" s="517"/>
      <c r="G247" s="504"/>
      <c r="H247" s="461">
        <f>F247*Payroll!$O$19/(50*5*8/12)</f>
        <v>0</v>
      </c>
      <c r="I247" s="517"/>
      <c r="J247" s="504"/>
      <c r="K247" s="461">
        <f>I247*Payroll!$O$19/(50*5*8/12)</f>
        <v>0</v>
      </c>
      <c r="L247" s="517"/>
      <c r="M247" s="504"/>
      <c r="N247" s="461">
        <f>L247*Payroll!$O$19/(50*5*8/12)</f>
        <v>0</v>
      </c>
      <c r="O247" s="517"/>
      <c r="P247" s="504"/>
      <c r="Q247" s="461">
        <f>O247*Payroll!$O$19/(50*5*8/12)</f>
        <v>0</v>
      </c>
      <c r="R247" s="517"/>
      <c r="S247" s="504"/>
      <c r="T247" s="461">
        <f>R247*Payroll!$O$19/(50*5*8/12)</f>
        <v>0</v>
      </c>
      <c r="U247" s="517"/>
      <c r="V247" s="504"/>
      <c r="W247" s="461">
        <f>U247*Payroll!$O$19/(50*5*8/12)</f>
        <v>0</v>
      </c>
      <c r="X247" s="517"/>
      <c r="Y247" s="504"/>
      <c r="Z247" s="461">
        <f>X247*Payroll!$O$19/(50*5*8/12)</f>
        <v>0</v>
      </c>
      <c r="AA247" s="517"/>
      <c r="AB247" s="504"/>
      <c r="AC247" s="461">
        <f>AA247*Payroll!$O$19/(50*5*8/12)</f>
        <v>0</v>
      </c>
      <c r="AD247" s="517"/>
      <c r="AE247" s="504"/>
      <c r="AF247" s="461">
        <f>AD247*Payroll!$O$19/(50*5*8/12)</f>
        <v>0</v>
      </c>
      <c r="AG247" s="517"/>
      <c r="AH247" s="504"/>
      <c r="AI247" s="461">
        <f>AG247*Payroll!$O$19/(50*5*8/12)</f>
        <v>0</v>
      </c>
      <c r="AJ247" s="517"/>
      <c r="AK247" s="504"/>
      <c r="AL247" s="461">
        <f>AJ247*Payroll!$O$19/(50*5*8/12)</f>
        <v>0</v>
      </c>
      <c r="AN247" s="114" t="s">
        <v>745</v>
      </c>
      <c r="AO247" s="446">
        <f>SUM(A257,A258,A259,A264,A266,A267,A268,A270)</f>
        <v>30540</v>
      </c>
    </row>
    <row r="248" spans="1:41" x14ac:dyDescent="0.35">
      <c r="A248" s="471">
        <f>SUM(E248,H248,K248,N248,Q248,T248,W248,Z248,AC248,AF248,AI248,AL248)</f>
        <v>49308.480000000003</v>
      </c>
      <c r="B248" s="506">
        <f>Payroll!B217</f>
        <v>0</v>
      </c>
      <c r="C248" s="517">
        <v>120</v>
      </c>
      <c r="D248" s="504"/>
      <c r="E248" s="461">
        <f>C248*Payroll!$O$19/(50*5*8/12)</f>
        <v>4109.04</v>
      </c>
      <c r="F248" s="517">
        <v>120</v>
      </c>
      <c r="G248" s="504"/>
      <c r="H248" s="461">
        <f>F248*Payroll!$O$19/(50*5*8/12)</f>
        <v>4109.04</v>
      </c>
      <c r="I248" s="517">
        <v>120</v>
      </c>
      <c r="J248" s="504"/>
      <c r="K248" s="461">
        <f>I248*Payroll!$O$19/(50*5*8/12)</f>
        <v>4109.04</v>
      </c>
      <c r="L248" s="517">
        <v>120</v>
      </c>
      <c r="M248" s="504"/>
      <c r="N248" s="461">
        <f>L248*Payroll!$O$19/(50*5*8/12)</f>
        <v>4109.04</v>
      </c>
      <c r="O248" s="517">
        <v>120</v>
      </c>
      <c r="P248" s="504"/>
      <c r="Q248" s="461">
        <f>O248*Payroll!$O$19/(50*5*8/12)</f>
        <v>4109.04</v>
      </c>
      <c r="R248" s="517">
        <v>120</v>
      </c>
      <c r="S248" s="504"/>
      <c r="T248" s="461">
        <f>R248*Payroll!$O$19/(50*5*8/12)</f>
        <v>4109.04</v>
      </c>
      <c r="U248" s="517">
        <v>120</v>
      </c>
      <c r="V248" s="504"/>
      <c r="W248" s="461">
        <f>U248*Payroll!$O$19/(50*5*8/12)</f>
        <v>4109.04</v>
      </c>
      <c r="X248" s="517">
        <v>120</v>
      </c>
      <c r="Y248" s="504"/>
      <c r="Z248" s="461">
        <f>X248*Payroll!$O$19/(50*5*8/12)</f>
        <v>4109.04</v>
      </c>
      <c r="AA248" s="517">
        <v>120</v>
      </c>
      <c r="AB248" s="504"/>
      <c r="AC248" s="461">
        <f>AA248*Payroll!$O$19/(50*5*8/12)</f>
        <v>4109.04</v>
      </c>
      <c r="AD248" s="517">
        <v>120</v>
      </c>
      <c r="AE248" s="504"/>
      <c r="AF248" s="461">
        <f>AD248*Payroll!$O$19/(50*5*8/12)</f>
        <v>4109.04</v>
      </c>
      <c r="AG248" s="517">
        <v>120</v>
      </c>
      <c r="AH248" s="504"/>
      <c r="AI248" s="461">
        <f>AG248*Payroll!$O$19/(50*5*8/12)</f>
        <v>4109.04</v>
      </c>
      <c r="AJ248" s="517">
        <v>120</v>
      </c>
      <c r="AK248" s="504"/>
      <c r="AL248" s="461">
        <f>AJ248*Payroll!$O$19/(50*5*8/12)</f>
        <v>4109.04</v>
      </c>
      <c r="AN248" s="114" t="s">
        <v>746</v>
      </c>
      <c r="AO248" s="446">
        <f>SUM(A258,A260,A262,A263,A271)</f>
        <v>14050</v>
      </c>
    </row>
    <row r="249" spans="1:41" x14ac:dyDescent="0.35">
      <c r="A249" s="471">
        <f>SUM(E249,H249,K249,N249,Q249,T249,W249,Z249,AC249,AF249,AI249,AL249)</f>
        <v>0</v>
      </c>
      <c r="B249" s="506">
        <f>Payroll!B218</f>
        <v>0</v>
      </c>
      <c r="C249" s="517"/>
      <c r="D249" s="504"/>
      <c r="E249" s="461">
        <f>C249*Payroll!$O$19/(50*5*8/12)</f>
        <v>0</v>
      </c>
      <c r="F249" s="517"/>
      <c r="G249" s="504"/>
      <c r="H249" s="461">
        <f>F249*Payroll!$O$19/(50*5*8/12)</f>
        <v>0</v>
      </c>
      <c r="I249" s="517"/>
      <c r="J249" s="504"/>
      <c r="K249" s="461">
        <f>I249*Payroll!$O$19/(50*5*8/12)</f>
        <v>0</v>
      </c>
      <c r="L249" s="517"/>
      <c r="M249" s="504"/>
      <c r="N249" s="461">
        <f>L249*Payroll!$O$19/(50*5*8/12)</f>
        <v>0</v>
      </c>
      <c r="O249" s="517"/>
      <c r="P249" s="504"/>
      <c r="Q249" s="461">
        <f>O249*Payroll!$O$19/(50*5*8/12)</f>
        <v>0</v>
      </c>
      <c r="R249" s="517"/>
      <c r="S249" s="504"/>
      <c r="T249" s="461">
        <f>R249*Payroll!$O$19/(50*5*8/12)</f>
        <v>0</v>
      </c>
      <c r="U249" s="517"/>
      <c r="V249" s="504"/>
      <c r="W249" s="461">
        <f>U249*Payroll!$O$19/(50*5*8/12)</f>
        <v>0</v>
      </c>
      <c r="X249" s="517"/>
      <c r="Y249" s="504"/>
      <c r="Z249" s="461">
        <f>X249*Payroll!$O$19/(50*5*8/12)</f>
        <v>0</v>
      </c>
      <c r="AA249" s="517"/>
      <c r="AB249" s="504"/>
      <c r="AC249" s="461">
        <f>AA249*Payroll!$O$19/(50*5*8/12)</f>
        <v>0</v>
      </c>
      <c r="AD249" s="517"/>
      <c r="AE249" s="504"/>
      <c r="AF249" s="461">
        <f>AD249*Payroll!$O$19/(50*5*8/12)</f>
        <v>0</v>
      </c>
      <c r="AG249" s="517"/>
      <c r="AH249" s="504"/>
      <c r="AI249" s="461">
        <f>AG249*Payroll!$O$19/(50*5*8/12)</f>
        <v>0</v>
      </c>
      <c r="AJ249" s="517"/>
      <c r="AK249" s="504"/>
      <c r="AL249" s="461">
        <f>AJ249*Payroll!$O$19/(50*5*8/12)</f>
        <v>0</v>
      </c>
      <c r="AN249" s="114" t="s">
        <v>747</v>
      </c>
      <c r="AO249" s="446">
        <f>SUM(A261,A256,A269)</f>
        <v>8400</v>
      </c>
    </row>
    <row r="250" spans="1:41" x14ac:dyDescent="0.35">
      <c r="A250" s="471">
        <f>SUM(E250,H250,K250,N250,Q250,T250,W250,Z250,AC250,AF250,AI250,AL250)</f>
        <v>0</v>
      </c>
      <c r="B250" s="506">
        <f>Payroll!B219</f>
        <v>0</v>
      </c>
      <c r="C250" s="517"/>
      <c r="D250" s="504"/>
      <c r="E250" s="461">
        <f>C250*Payroll!$O$19/(50*5*8/12)</f>
        <v>0</v>
      </c>
      <c r="F250" s="517"/>
      <c r="G250" s="504"/>
      <c r="H250" s="461">
        <f>F250*Payroll!$O$19/(50*5*8/12)</f>
        <v>0</v>
      </c>
      <c r="I250" s="517"/>
      <c r="J250" s="504"/>
      <c r="K250" s="461">
        <f>I250*Payroll!$O$19/(50*5*8/12)</f>
        <v>0</v>
      </c>
      <c r="L250" s="517"/>
      <c r="M250" s="504"/>
      <c r="N250" s="461">
        <f>L250*Payroll!$O$19/(50*5*8/12)</f>
        <v>0</v>
      </c>
      <c r="O250" s="517"/>
      <c r="P250" s="504"/>
      <c r="Q250" s="461">
        <f>O250*Payroll!$O$19/(50*5*8/12)</f>
        <v>0</v>
      </c>
      <c r="R250" s="517"/>
      <c r="S250" s="504"/>
      <c r="T250" s="461">
        <f>R250*Payroll!$O$19/(50*5*8/12)</f>
        <v>0</v>
      </c>
      <c r="U250" s="517"/>
      <c r="V250" s="504"/>
      <c r="W250" s="461">
        <f>U250*Payroll!$O$19/(50*5*8/12)</f>
        <v>0</v>
      </c>
      <c r="X250" s="517"/>
      <c r="Y250" s="504"/>
      <c r="Z250" s="461">
        <f>X250*Payroll!$O$19/(50*5*8/12)</f>
        <v>0</v>
      </c>
      <c r="AA250" s="517"/>
      <c r="AB250" s="504"/>
      <c r="AC250" s="461">
        <f>AA250*Payroll!$O$19/(50*5*8/12)</f>
        <v>0</v>
      </c>
      <c r="AD250" s="517"/>
      <c r="AE250" s="504"/>
      <c r="AF250" s="461">
        <f>AD250*Payroll!$O$19/(50*5*8/12)</f>
        <v>0</v>
      </c>
      <c r="AG250" s="517"/>
      <c r="AH250" s="504"/>
      <c r="AI250" s="461">
        <f>AG250*Payroll!$O$19/(50*5*8/12)</f>
        <v>0</v>
      </c>
      <c r="AJ250" s="517"/>
      <c r="AK250" s="504"/>
      <c r="AL250" s="461">
        <f>AJ250*Payroll!$O$19/(50*5*8/12)</f>
        <v>0</v>
      </c>
    </row>
    <row r="251" spans="1:41" x14ac:dyDescent="0.35">
      <c r="A251" s="471">
        <f t="shared" ref="A251:A252" si="14">SUM(E251,H251,K251,N251,Q251,T251,W251,Z251,AC251,AF251,AI251,AL251)</f>
        <v>0</v>
      </c>
      <c r="B251" s="506">
        <f>Payroll!B220</f>
        <v>0</v>
      </c>
      <c r="C251" s="517"/>
      <c r="D251" s="504"/>
      <c r="E251" s="461">
        <f>C251*Payroll!$O$19/(50*5*8/12)</f>
        <v>0</v>
      </c>
      <c r="F251" s="517"/>
      <c r="G251" s="504"/>
      <c r="H251" s="461">
        <f>F251*Payroll!$O$19/(50*5*8/12)</f>
        <v>0</v>
      </c>
      <c r="I251" s="517"/>
      <c r="J251" s="504"/>
      <c r="K251" s="461">
        <f>I251*Payroll!$O$19/(50*5*8/12)</f>
        <v>0</v>
      </c>
      <c r="L251" s="517"/>
      <c r="M251" s="504"/>
      <c r="N251" s="461">
        <f>L251*Payroll!$O$19/(50*5*8/12)</f>
        <v>0</v>
      </c>
      <c r="O251" s="517"/>
      <c r="P251" s="504"/>
      <c r="Q251" s="461">
        <f>O251*Payroll!$O$19/(50*5*8/12)</f>
        <v>0</v>
      </c>
      <c r="R251" s="517"/>
      <c r="S251" s="504"/>
      <c r="T251" s="461">
        <f>R251*Payroll!$O$19/(50*5*8/12)</f>
        <v>0</v>
      </c>
      <c r="U251" s="517"/>
      <c r="V251" s="504"/>
      <c r="W251" s="461">
        <f>U251*Payroll!$O$19/(50*5*8/12)</f>
        <v>0</v>
      </c>
      <c r="X251" s="517"/>
      <c r="Y251" s="504"/>
      <c r="Z251" s="461">
        <f>X251*Payroll!$O$19/(50*5*8/12)</f>
        <v>0</v>
      </c>
      <c r="AA251" s="517"/>
      <c r="AB251" s="504"/>
      <c r="AC251" s="461">
        <f>AA251*Payroll!$O$19/(50*5*8/12)</f>
        <v>0</v>
      </c>
      <c r="AD251" s="517"/>
      <c r="AE251" s="504"/>
      <c r="AF251" s="461">
        <f>AD251*Payroll!$O$19/(50*5*8/12)</f>
        <v>0</v>
      </c>
      <c r="AG251" s="517"/>
      <c r="AH251" s="504"/>
      <c r="AI251" s="461">
        <f>AG251*Payroll!$O$19/(50*5*8/12)</f>
        <v>0</v>
      </c>
      <c r="AJ251" s="517"/>
      <c r="AK251" s="504"/>
      <c r="AL251" s="461">
        <f>AJ251*Payroll!$O$19/(50*5*8/12)</f>
        <v>0</v>
      </c>
    </row>
    <row r="252" spans="1:41" x14ac:dyDescent="0.35">
      <c r="A252" s="471">
        <f t="shared" si="14"/>
        <v>0</v>
      </c>
      <c r="B252" s="506">
        <f>Payroll!B221</f>
        <v>0</v>
      </c>
      <c r="C252" s="517"/>
      <c r="D252" s="504"/>
      <c r="E252" s="461">
        <f>C252*Payroll!$O$19/(50*5*8/12)</f>
        <v>0</v>
      </c>
      <c r="F252" s="517"/>
      <c r="G252" s="504"/>
      <c r="H252" s="461">
        <f>F252*Payroll!$O$19/(50*5*8/12)</f>
        <v>0</v>
      </c>
      <c r="I252" s="517"/>
      <c r="J252" s="504"/>
      <c r="K252" s="461">
        <f>I252*Payroll!$O$19/(50*5*8/12)</f>
        <v>0</v>
      </c>
      <c r="L252" s="517"/>
      <c r="M252" s="504"/>
      <c r="N252" s="461">
        <f>L252*Payroll!$O$19/(50*5*8/12)</f>
        <v>0</v>
      </c>
      <c r="O252" s="517"/>
      <c r="P252" s="504"/>
      <c r="Q252" s="461">
        <f>O252*Payroll!$O$19/(50*5*8/12)</f>
        <v>0</v>
      </c>
      <c r="R252" s="517"/>
      <c r="S252" s="504"/>
      <c r="T252" s="461">
        <f>R252*Payroll!$O$19/(50*5*8/12)</f>
        <v>0</v>
      </c>
      <c r="U252" s="517"/>
      <c r="V252" s="504"/>
      <c r="W252" s="461">
        <f>U252*Payroll!$O$19/(50*5*8/12)</f>
        <v>0</v>
      </c>
      <c r="X252" s="517"/>
      <c r="Y252" s="504"/>
      <c r="Z252" s="461">
        <f>X252*Payroll!$O$19/(50*5*8/12)</f>
        <v>0</v>
      </c>
      <c r="AA252" s="517"/>
      <c r="AB252" s="504"/>
      <c r="AC252" s="461">
        <f>AA252*Payroll!$O$19/(50*5*8/12)</f>
        <v>0</v>
      </c>
      <c r="AD252" s="517"/>
      <c r="AE252" s="504"/>
      <c r="AF252" s="461">
        <f>AD252*Payroll!$O$19/(50*5*8/12)</f>
        <v>0</v>
      </c>
      <c r="AG252" s="517"/>
      <c r="AH252" s="504"/>
      <c r="AI252" s="461">
        <f>AG252*Payroll!$O$19/(50*5*8/12)</f>
        <v>0</v>
      </c>
      <c r="AJ252" s="517"/>
      <c r="AK252" s="504"/>
      <c r="AL252" s="461">
        <f>AJ252*Payroll!$O$19/(50*5*8/12)</f>
        <v>0</v>
      </c>
    </row>
    <row r="253" spans="1:41" x14ac:dyDescent="0.35">
      <c r="A253" s="469">
        <f>SUM(E253,H253,K253,N253,Q253,T253,W253,Z253,AC253,AF253,AI253,AL253)</f>
        <v>98616.960000000006</v>
      </c>
      <c r="B253" s="509" t="s">
        <v>708</v>
      </c>
      <c r="C253" s="516">
        <f>SUM(C246:C250)</f>
        <v>240</v>
      </c>
      <c r="D253" s="511"/>
      <c r="E253" s="510">
        <f>SUM(E246:E252)</f>
        <v>8218.08</v>
      </c>
      <c r="F253" s="516">
        <f>SUM(F246:F250)</f>
        <v>240</v>
      </c>
      <c r="G253" s="511"/>
      <c r="H253" s="510">
        <f>SUM(H246:H252)</f>
        <v>8218.08</v>
      </c>
      <c r="I253" s="516">
        <f>SUM(I246:I250)</f>
        <v>240</v>
      </c>
      <c r="J253" s="511"/>
      <c r="K253" s="510">
        <f>SUM(K246:K252)</f>
        <v>8218.08</v>
      </c>
      <c r="L253" s="516">
        <f>SUM(L246:L250)</f>
        <v>240</v>
      </c>
      <c r="M253" s="511"/>
      <c r="N253" s="510">
        <f>SUM(N246:N252)</f>
        <v>8218.08</v>
      </c>
      <c r="O253" s="516">
        <f>SUM(O246:O250)</f>
        <v>240</v>
      </c>
      <c r="P253" s="511"/>
      <c r="Q253" s="510">
        <f>SUM(Q246:Q252)</f>
        <v>8218.08</v>
      </c>
      <c r="R253" s="516">
        <f>SUM(R246:R250)</f>
        <v>240</v>
      </c>
      <c r="S253" s="511"/>
      <c r="T253" s="510">
        <f>SUM(T246:T252)</f>
        <v>8218.08</v>
      </c>
      <c r="U253" s="516">
        <f>SUM(U246:U250)</f>
        <v>240</v>
      </c>
      <c r="V253" s="511"/>
      <c r="W253" s="510">
        <f>SUM(W246:W252)</f>
        <v>8218.08</v>
      </c>
      <c r="X253" s="516">
        <f>SUM(X246:X250)</f>
        <v>240</v>
      </c>
      <c r="Y253" s="511"/>
      <c r="Z253" s="510">
        <f>SUM(Z246:Z252)</f>
        <v>8218.08</v>
      </c>
      <c r="AA253" s="516">
        <f>SUM(AA246:AA250)</f>
        <v>240</v>
      </c>
      <c r="AB253" s="511"/>
      <c r="AC253" s="510">
        <f>SUM(AC246:AC252)</f>
        <v>8218.08</v>
      </c>
      <c r="AD253" s="516">
        <f>SUM(AD246:AD250)</f>
        <v>240</v>
      </c>
      <c r="AE253" s="511"/>
      <c r="AF253" s="510">
        <f>SUM(AF246:AF252)</f>
        <v>8218.08</v>
      </c>
      <c r="AG253" s="516">
        <f>SUM(AG246:AG250)</f>
        <v>240</v>
      </c>
      <c r="AH253" s="511"/>
      <c r="AI253" s="510">
        <f>SUM(AI246:AI252)</f>
        <v>8218.08</v>
      </c>
      <c r="AJ253" s="516">
        <f>SUM(AJ246:AJ250)</f>
        <v>240</v>
      </c>
      <c r="AK253" s="511"/>
      <c r="AL253" s="510">
        <f>SUM(AL246:AL252)</f>
        <v>8218.08</v>
      </c>
    </row>
    <row r="255" spans="1:41" x14ac:dyDescent="0.35">
      <c r="A255" s="507" t="s">
        <v>653</v>
      </c>
      <c r="B255" s="508" t="s">
        <v>709</v>
      </c>
      <c r="C255" s="544" t="s">
        <v>654</v>
      </c>
      <c r="D255" s="545"/>
      <c r="E255" s="477" t="s">
        <v>320</v>
      </c>
      <c r="F255" s="544" t="s">
        <v>654</v>
      </c>
      <c r="G255" s="545"/>
      <c r="H255" s="477" t="s">
        <v>320</v>
      </c>
      <c r="I255" s="544" t="s">
        <v>654</v>
      </c>
      <c r="J255" s="545"/>
      <c r="K255" s="477" t="s">
        <v>320</v>
      </c>
      <c r="L255" s="544" t="s">
        <v>654</v>
      </c>
      <c r="M255" s="545"/>
      <c r="N255" s="477" t="s">
        <v>320</v>
      </c>
      <c r="O255" s="544" t="s">
        <v>654</v>
      </c>
      <c r="P255" s="545"/>
      <c r="Q255" s="477" t="s">
        <v>320</v>
      </c>
      <c r="R255" s="544" t="s">
        <v>654</v>
      </c>
      <c r="S255" s="545"/>
      <c r="T255" s="477" t="s">
        <v>320</v>
      </c>
      <c r="U255" s="544" t="s">
        <v>654</v>
      </c>
      <c r="V255" s="545"/>
      <c r="W255" s="477" t="s">
        <v>320</v>
      </c>
      <c r="X255" s="544" t="s">
        <v>654</v>
      </c>
      <c r="Y255" s="545"/>
      <c r="Z255" s="477" t="s">
        <v>320</v>
      </c>
      <c r="AA255" s="544" t="s">
        <v>654</v>
      </c>
      <c r="AB255" s="545"/>
      <c r="AC255" s="477" t="s">
        <v>320</v>
      </c>
      <c r="AD255" s="544" t="s">
        <v>654</v>
      </c>
      <c r="AE255" s="545"/>
      <c r="AF255" s="477" t="s">
        <v>320</v>
      </c>
      <c r="AG255" s="544" t="s">
        <v>654</v>
      </c>
      <c r="AH255" s="545"/>
      <c r="AI255" s="477" t="s">
        <v>320</v>
      </c>
      <c r="AJ255" s="544" t="s">
        <v>654</v>
      </c>
      <c r="AK255" s="545"/>
      <c r="AL255" s="477" t="s">
        <v>320</v>
      </c>
    </row>
    <row r="256" spans="1:41" x14ac:dyDescent="0.35">
      <c r="A256" s="471">
        <f>SUM(E256,H256,K256,N256,Q256,T256,W256,Z256,AC256,AF256,AI256,AL256)</f>
        <v>2400</v>
      </c>
      <c r="B256" s="506" t="s">
        <v>639</v>
      </c>
      <c r="C256" s="541"/>
      <c r="D256" s="542"/>
      <c r="E256" s="518">
        <v>200</v>
      </c>
      <c r="F256" s="541"/>
      <c r="G256" s="542"/>
      <c r="H256" s="518">
        <v>200</v>
      </c>
      <c r="I256" s="541"/>
      <c r="J256" s="542"/>
      <c r="K256" s="518">
        <v>200</v>
      </c>
      <c r="L256" s="541"/>
      <c r="M256" s="542"/>
      <c r="N256" s="518">
        <v>200</v>
      </c>
      <c r="O256" s="541"/>
      <c r="P256" s="542"/>
      <c r="Q256" s="518">
        <v>200</v>
      </c>
      <c r="R256" s="541"/>
      <c r="S256" s="542"/>
      <c r="T256" s="518">
        <v>200</v>
      </c>
      <c r="U256" s="541"/>
      <c r="V256" s="542"/>
      <c r="W256" s="518">
        <v>200</v>
      </c>
      <c r="X256" s="541"/>
      <c r="Y256" s="542"/>
      <c r="Z256" s="518">
        <v>200</v>
      </c>
      <c r="AA256" s="541"/>
      <c r="AB256" s="542"/>
      <c r="AC256" s="518">
        <v>200</v>
      </c>
      <c r="AD256" s="541"/>
      <c r="AE256" s="542"/>
      <c r="AF256" s="518">
        <v>200</v>
      </c>
      <c r="AG256" s="541"/>
      <c r="AH256" s="542"/>
      <c r="AI256" s="518">
        <v>200</v>
      </c>
      <c r="AJ256" s="541"/>
      <c r="AK256" s="542"/>
      <c r="AL256" s="518">
        <v>200</v>
      </c>
    </row>
    <row r="257" spans="1:38" x14ac:dyDescent="0.35">
      <c r="A257" s="471">
        <f t="shared" ref="A257:A261" si="15">SUM(E257,H257,K257,N257,Q257,T257,W257,Z257,AC257,AF257,AI257,AL257)</f>
        <v>0</v>
      </c>
      <c r="B257" s="506" t="s">
        <v>640</v>
      </c>
      <c r="C257" s="541"/>
      <c r="D257" s="542"/>
      <c r="E257" s="518"/>
      <c r="F257" s="541"/>
      <c r="G257" s="542"/>
      <c r="H257" s="518"/>
      <c r="I257" s="541"/>
      <c r="J257" s="542"/>
      <c r="K257" s="518"/>
      <c r="L257" s="541"/>
      <c r="M257" s="542"/>
      <c r="N257" s="518"/>
      <c r="O257" s="541"/>
      <c r="P257" s="542"/>
      <c r="Q257" s="518"/>
      <c r="R257" s="541"/>
      <c r="S257" s="542"/>
      <c r="T257" s="518"/>
      <c r="U257" s="541"/>
      <c r="V257" s="542"/>
      <c r="W257" s="518"/>
      <c r="X257" s="541"/>
      <c r="Y257" s="542"/>
      <c r="Z257" s="518"/>
      <c r="AA257" s="541"/>
      <c r="AB257" s="542"/>
      <c r="AC257" s="518"/>
      <c r="AD257" s="541"/>
      <c r="AE257" s="542"/>
      <c r="AF257" s="518"/>
      <c r="AG257" s="541"/>
      <c r="AH257" s="542"/>
      <c r="AI257" s="518"/>
      <c r="AJ257" s="541"/>
      <c r="AK257" s="542"/>
      <c r="AL257" s="518"/>
    </row>
    <row r="258" spans="1:38" x14ac:dyDescent="0.35">
      <c r="A258" s="471">
        <f t="shared" si="15"/>
        <v>0</v>
      </c>
      <c r="B258" s="506" t="s">
        <v>641</v>
      </c>
      <c r="C258" s="541"/>
      <c r="D258" s="542"/>
      <c r="E258" s="518"/>
      <c r="F258" s="541"/>
      <c r="G258" s="542"/>
      <c r="H258" s="518"/>
      <c r="I258" s="541"/>
      <c r="J258" s="542"/>
      <c r="K258" s="518"/>
      <c r="L258" s="541"/>
      <c r="M258" s="542"/>
      <c r="N258" s="518"/>
      <c r="O258" s="541"/>
      <c r="P258" s="542"/>
      <c r="Q258" s="518"/>
      <c r="R258" s="541"/>
      <c r="S258" s="542"/>
      <c r="T258" s="518"/>
      <c r="U258" s="541"/>
      <c r="V258" s="542"/>
      <c r="W258" s="518"/>
      <c r="X258" s="541"/>
      <c r="Y258" s="542"/>
      <c r="Z258" s="518"/>
      <c r="AA258" s="541"/>
      <c r="AB258" s="542"/>
      <c r="AC258" s="518"/>
      <c r="AD258" s="541"/>
      <c r="AE258" s="542"/>
      <c r="AF258" s="518"/>
      <c r="AG258" s="541"/>
      <c r="AH258" s="542"/>
      <c r="AI258" s="518"/>
      <c r="AJ258" s="541"/>
      <c r="AK258" s="542"/>
      <c r="AL258" s="518"/>
    </row>
    <row r="259" spans="1:38" x14ac:dyDescent="0.35">
      <c r="A259" s="471">
        <f t="shared" si="15"/>
        <v>7200</v>
      </c>
      <c r="B259" s="506" t="s">
        <v>642</v>
      </c>
      <c r="C259" s="541"/>
      <c r="D259" s="542"/>
      <c r="E259" s="518">
        <v>600</v>
      </c>
      <c r="F259" s="543"/>
      <c r="G259" s="542"/>
      <c r="H259" s="518">
        <f>E259</f>
        <v>600</v>
      </c>
      <c r="I259" s="543"/>
      <c r="J259" s="542"/>
      <c r="K259" s="518">
        <f>H259</f>
        <v>600</v>
      </c>
      <c r="L259" s="543"/>
      <c r="M259" s="542"/>
      <c r="N259" s="518">
        <f>K259</f>
        <v>600</v>
      </c>
      <c r="O259" s="543"/>
      <c r="P259" s="542"/>
      <c r="Q259" s="518">
        <f>N259</f>
        <v>600</v>
      </c>
      <c r="R259" s="543"/>
      <c r="S259" s="542"/>
      <c r="T259" s="518">
        <f>Q259</f>
        <v>600</v>
      </c>
      <c r="U259" s="543"/>
      <c r="V259" s="542"/>
      <c r="W259" s="518">
        <f>T259</f>
        <v>600</v>
      </c>
      <c r="X259" s="543"/>
      <c r="Y259" s="542"/>
      <c r="Z259" s="518">
        <f>W259</f>
        <v>600</v>
      </c>
      <c r="AA259" s="543"/>
      <c r="AB259" s="542"/>
      <c r="AC259" s="518">
        <f>Z259</f>
        <v>600</v>
      </c>
      <c r="AD259" s="543"/>
      <c r="AE259" s="542"/>
      <c r="AF259" s="518">
        <f>AC259</f>
        <v>600</v>
      </c>
      <c r="AG259" s="543"/>
      <c r="AH259" s="542"/>
      <c r="AI259" s="518">
        <f>AF259</f>
        <v>600</v>
      </c>
      <c r="AJ259" s="543"/>
      <c r="AK259" s="542"/>
      <c r="AL259" s="518">
        <f>AI259</f>
        <v>600</v>
      </c>
    </row>
    <row r="260" spans="1:38" x14ac:dyDescent="0.35">
      <c r="A260" s="471">
        <f t="shared" si="15"/>
        <v>5000</v>
      </c>
      <c r="B260" s="506" t="s">
        <v>643</v>
      </c>
      <c r="C260" s="541"/>
      <c r="D260" s="542"/>
      <c r="E260" s="518">
        <f>(3000+2000)/12</f>
        <v>416.66666666666669</v>
      </c>
      <c r="F260" s="543"/>
      <c r="G260" s="542"/>
      <c r="H260" s="518">
        <f>$E260</f>
        <v>416.66666666666669</v>
      </c>
      <c r="I260" s="543"/>
      <c r="J260" s="542"/>
      <c r="K260" s="518">
        <f>$E260</f>
        <v>416.66666666666669</v>
      </c>
      <c r="L260" s="543"/>
      <c r="M260" s="542"/>
      <c r="N260" s="518">
        <f>$E260</f>
        <v>416.66666666666669</v>
      </c>
      <c r="O260" s="543"/>
      <c r="P260" s="542"/>
      <c r="Q260" s="518">
        <f>$E260</f>
        <v>416.66666666666669</v>
      </c>
      <c r="R260" s="543"/>
      <c r="S260" s="542"/>
      <c r="T260" s="518">
        <f>$E260</f>
        <v>416.66666666666669</v>
      </c>
      <c r="U260" s="543"/>
      <c r="V260" s="542"/>
      <c r="W260" s="518">
        <f>$E260</f>
        <v>416.66666666666669</v>
      </c>
      <c r="X260" s="543"/>
      <c r="Y260" s="542"/>
      <c r="Z260" s="518">
        <f>$E260</f>
        <v>416.66666666666669</v>
      </c>
      <c r="AA260" s="543"/>
      <c r="AB260" s="542"/>
      <c r="AC260" s="518">
        <f>$E260</f>
        <v>416.66666666666669</v>
      </c>
      <c r="AD260" s="543"/>
      <c r="AE260" s="542"/>
      <c r="AF260" s="518">
        <f>$E260</f>
        <v>416.66666666666669</v>
      </c>
      <c r="AG260" s="543"/>
      <c r="AH260" s="542"/>
      <c r="AI260" s="518">
        <f>$E260</f>
        <v>416.66666666666669</v>
      </c>
      <c r="AJ260" s="543"/>
      <c r="AK260" s="542"/>
      <c r="AL260" s="518">
        <f>$E260</f>
        <v>416.66666666666669</v>
      </c>
    </row>
    <row r="261" spans="1:38" x14ac:dyDescent="0.35">
      <c r="A261" s="471">
        <f t="shared" si="15"/>
        <v>6000</v>
      </c>
      <c r="B261" s="506" t="s">
        <v>644</v>
      </c>
      <c r="C261" s="541"/>
      <c r="D261" s="542"/>
      <c r="E261" s="518">
        <v>500</v>
      </c>
      <c r="F261" s="541"/>
      <c r="G261" s="542"/>
      <c r="H261" s="518">
        <v>500</v>
      </c>
      <c r="I261" s="541"/>
      <c r="J261" s="542"/>
      <c r="K261" s="518">
        <v>500</v>
      </c>
      <c r="L261" s="541"/>
      <c r="M261" s="542"/>
      <c r="N261" s="518">
        <v>500</v>
      </c>
      <c r="O261" s="541"/>
      <c r="P261" s="542"/>
      <c r="Q261" s="518">
        <v>500</v>
      </c>
      <c r="R261" s="541"/>
      <c r="S261" s="542"/>
      <c r="T261" s="518">
        <v>500</v>
      </c>
      <c r="U261" s="541"/>
      <c r="V261" s="542"/>
      <c r="W261" s="518">
        <v>500</v>
      </c>
      <c r="X261" s="541"/>
      <c r="Y261" s="542"/>
      <c r="Z261" s="518">
        <v>500</v>
      </c>
      <c r="AA261" s="541"/>
      <c r="AB261" s="542"/>
      <c r="AC261" s="518">
        <v>500</v>
      </c>
      <c r="AD261" s="541"/>
      <c r="AE261" s="542"/>
      <c r="AF261" s="518">
        <v>500</v>
      </c>
      <c r="AG261" s="541"/>
      <c r="AH261" s="542"/>
      <c r="AI261" s="518">
        <v>500</v>
      </c>
      <c r="AJ261" s="541"/>
      <c r="AK261" s="542"/>
      <c r="AL261" s="518">
        <v>500</v>
      </c>
    </row>
    <row r="262" spans="1:38" x14ac:dyDescent="0.35">
      <c r="A262" s="471"/>
      <c r="B262" s="506" t="s">
        <v>658</v>
      </c>
      <c r="C262" s="541"/>
      <c r="D262" s="542"/>
      <c r="E262" s="518">
        <v>750</v>
      </c>
      <c r="F262" s="543"/>
      <c r="G262" s="542"/>
      <c r="H262" s="518">
        <f>E262</f>
        <v>750</v>
      </c>
      <c r="I262" s="543"/>
      <c r="J262" s="542"/>
      <c r="K262" s="518">
        <f>H262</f>
        <v>750</v>
      </c>
      <c r="L262" s="543"/>
      <c r="M262" s="542"/>
      <c r="N262" s="518">
        <f>K262</f>
        <v>750</v>
      </c>
      <c r="O262" s="543"/>
      <c r="P262" s="542"/>
      <c r="Q262" s="518">
        <f>N262</f>
        <v>750</v>
      </c>
      <c r="R262" s="543"/>
      <c r="S262" s="542"/>
      <c r="T262" s="518">
        <f>Q262</f>
        <v>750</v>
      </c>
      <c r="U262" s="543"/>
      <c r="V262" s="542"/>
      <c r="W262" s="518">
        <f>T262</f>
        <v>750</v>
      </c>
      <c r="X262" s="543"/>
      <c r="Y262" s="542"/>
      <c r="Z262" s="518">
        <f>W262</f>
        <v>750</v>
      </c>
      <c r="AA262" s="543"/>
      <c r="AB262" s="542"/>
      <c r="AC262" s="518">
        <f>Z262</f>
        <v>750</v>
      </c>
      <c r="AD262" s="543"/>
      <c r="AE262" s="542"/>
      <c r="AF262" s="518">
        <f>AC262</f>
        <v>750</v>
      </c>
      <c r="AG262" s="543"/>
      <c r="AH262" s="542"/>
      <c r="AI262" s="518">
        <f>AF262</f>
        <v>750</v>
      </c>
      <c r="AJ262" s="543"/>
      <c r="AK262" s="542"/>
      <c r="AL262" s="518">
        <f>AI262</f>
        <v>750</v>
      </c>
    </row>
    <row r="263" spans="1:38" x14ac:dyDescent="0.35">
      <c r="A263" s="471">
        <f t="shared" ref="A263:A271" si="16">SUM(E263,H263,K263,N263,Q263,T263,W263,Z263,AC263,AF263,AI263,AL263)</f>
        <v>3050</v>
      </c>
      <c r="B263" s="506" t="s">
        <v>657</v>
      </c>
      <c r="C263" s="541"/>
      <c r="D263" s="542"/>
      <c r="E263" s="518">
        <f>1000+1000+250</f>
        <v>2250</v>
      </c>
      <c r="F263" s="541"/>
      <c r="G263" s="542"/>
      <c r="H263" s="518"/>
      <c r="I263" s="541"/>
      <c r="J263" s="542"/>
      <c r="K263" s="518">
        <v>200</v>
      </c>
      <c r="L263" s="541"/>
      <c r="M263" s="542"/>
      <c r="N263" s="518"/>
      <c r="O263" s="541"/>
      <c r="P263" s="542"/>
      <c r="Q263" s="518"/>
      <c r="R263" s="541"/>
      <c r="S263" s="542"/>
      <c r="T263" s="518">
        <v>200</v>
      </c>
      <c r="U263" s="541"/>
      <c r="V263" s="542"/>
      <c r="W263" s="518"/>
      <c r="X263" s="541"/>
      <c r="Y263" s="542"/>
      <c r="Z263" s="518"/>
      <c r="AA263" s="541"/>
      <c r="AB263" s="542"/>
      <c r="AC263" s="518">
        <v>200</v>
      </c>
      <c r="AD263" s="541"/>
      <c r="AE263" s="542"/>
      <c r="AF263" s="518"/>
      <c r="AG263" s="541"/>
      <c r="AH263" s="542"/>
      <c r="AI263" s="518"/>
      <c r="AJ263" s="541"/>
      <c r="AK263" s="542"/>
      <c r="AL263" s="518">
        <v>200</v>
      </c>
    </row>
    <row r="264" spans="1:38" x14ac:dyDescent="0.35">
      <c r="A264" s="471">
        <f t="shared" si="16"/>
        <v>1200</v>
      </c>
      <c r="B264" s="506" t="s">
        <v>645</v>
      </c>
      <c r="C264" s="541"/>
      <c r="D264" s="542"/>
      <c r="E264" s="518">
        <v>100</v>
      </c>
      <c r="F264" s="541"/>
      <c r="G264" s="542"/>
      <c r="H264" s="518">
        <v>100</v>
      </c>
      <c r="I264" s="541"/>
      <c r="J264" s="542"/>
      <c r="K264" s="518">
        <v>100</v>
      </c>
      <c r="L264" s="541"/>
      <c r="M264" s="542"/>
      <c r="N264" s="518">
        <v>100</v>
      </c>
      <c r="O264" s="541"/>
      <c r="P264" s="542"/>
      <c r="Q264" s="518">
        <v>100</v>
      </c>
      <c r="R264" s="541"/>
      <c r="S264" s="542"/>
      <c r="T264" s="518">
        <v>100</v>
      </c>
      <c r="U264" s="541"/>
      <c r="V264" s="542"/>
      <c r="W264" s="518">
        <v>100</v>
      </c>
      <c r="X264" s="541"/>
      <c r="Y264" s="542"/>
      <c r="Z264" s="518">
        <v>100</v>
      </c>
      <c r="AA264" s="541"/>
      <c r="AB264" s="542"/>
      <c r="AC264" s="518">
        <v>100</v>
      </c>
      <c r="AD264" s="541"/>
      <c r="AE264" s="542"/>
      <c r="AF264" s="518">
        <v>100</v>
      </c>
      <c r="AG264" s="541"/>
      <c r="AH264" s="542"/>
      <c r="AI264" s="518">
        <v>100</v>
      </c>
      <c r="AJ264" s="541"/>
      <c r="AK264" s="542"/>
      <c r="AL264" s="518">
        <v>100</v>
      </c>
    </row>
    <row r="265" spans="1:38" x14ac:dyDescent="0.35">
      <c r="A265" s="471">
        <f t="shared" si="16"/>
        <v>0</v>
      </c>
      <c r="B265" s="506" t="s">
        <v>646</v>
      </c>
      <c r="C265" s="541"/>
      <c r="D265" s="542"/>
      <c r="E265" s="518"/>
      <c r="F265" s="541"/>
      <c r="G265" s="542"/>
      <c r="H265" s="518"/>
      <c r="I265" s="541"/>
      <c r="J265" s="542"/>
      <c r="K265" s="518"/>
      <c r="L265" s="541"/>
      <c r="M265" s="542"/>
      <c r="N265" s="518"/>
      <c r="O265" s="541"/>
      <c r="P265" s="542"/>
      <c r="Q265" s="518"/>
      <c r="R265" s="541"/>
      <c r="S265" s="542"/>
      <c r="T265" s="518"/>
      <c r="U265" s="541"/>
      <c r="V265" s="542"/>
      <c r="W265" s="518"/>
      <c r="X265" s="541"/>
      <c r="Y265" s="542"/>
      <c r="Z265" s="518"/>
      <c r="AA265" s="541"/>
      <c r="AB265" s="542"/>
      <c r="AC265" s="518"/>
      <c r="AD265" s="541"/>
      <c r="AE265" s="542"/>
      <c r="AF265" s="518"/>
      <c r="AG265" s="541"/>
      <c r="AH265" s="542"/>
      <c r="AI265" s="518"/>
      <c r="AJ265" s="541"/>
      <c r="AK265" s="542"/>
      <c r="AL265" s="518"/>
    </row>
    <row r="266" spans="1:38" x14ac:dyDescent="0.35">
      <c r="A266" s="471">
        <f t="shared" si="16"/>
        <v>0</v>
      </c>
      <c r="B266" s="506" t="s">
        <v>647</v>
      </c>
      <c r="C266" s="541"/>
      <c r="D266" s="542"/>
      <c r="E266" s="518"/>
      <c r="F266" s="541"/>
      <c r="G266" s="542"/>
      <c r="H266" s="518"/>
      <c r="I266" s="541"/>
      <c r="J266" s="542"/>
      <c r="K266" s="518"/>
      <c r="L266" s="541"/>
      <c r="M266" s="542"/>
      <c r="N266" s="518"/>
      <c r="O266" s="541"/>
      <c r="P266" s="542"/>
      <c r="Q266" s="518"/>
      <c r="R266" s="541"/>
      <c r="S266" s="542"/>
      <c r="T266" s="518"/>
      <c r="U266" s="541"/>
      <c r="V266" s="542"/>
      <c r="W266" s="518"/>
      <c r="X266" s="541"/>
      <c r="Y266" s="542"/>
      <c r="Z266" s="518"/>
      <c r="AA266" s="541"/>
      <c r="AB266" s="542"/>
      <c r="AC266" s="518"/>
      <c r="AD266" s="541"/>
      <c r="AE266" s="542"/>
      <c r="AF266" s="518"/>
      <c r="AG266" s="541"/>
      <c r="AH266" s="542"/>
      <c r="AI266" s="518"/>
      <c r="AJ266" s="541"/>
      <c r="AK266" s="542"/>
      <c r="AL266" s="518"/>
    </row>
    <row r="267" spans="1:38" x14ac:dyDescent="0.35">
      <c r="A267" s="471">
        <f t="shared" si="16"/>
        <v>2400</v>
      </c>
      <c r="B267" s="506" t="s">
        <v>648</v>
      </c>
      <c r="C267" s="541"/>
      <c r="D267" s="542"/>
      <c r="E267" s="518">
        <v>200</v>
      </c>
      <c r="F267" s="541"/>
      <c r="G267" s="542"/>
      <c r="H267" s="518">
        <v>200</v>
      </c>
      <c r="I267" s="541"/>
      <c r="J267" s="542"/>
      <c r="K267" s="518">
        <v>200</v>
      </c>
      <c r="L267" s="541"/>
      <c r="M267" s="542"/>
      <c r="N267" s="518">
        <v>200</v>
      </c>
      <c r="O267" s="541"/>
      <c r="P267" s="542"/>
      <c r="Q267" s="518">
        <v>200</v>
      </c>
      <c r="R267" s="541"/>
      <c r="S267" s="542"/>
      <c r="T267" s="518">
        <v>200</v>
      </c>
      <c r="U267" s="541"/>
      <c r="V267" s="542"/>
      <c r="W267" s="518">
        <v>200</v>
      </c>
      <c r="X267" s="541"/>
      <c r="Y267" s="542"/>
      <c r="Z267" s="518">
        <v>200</v>
      </c>
      <c r="AA267" s="541"/>
      <c r="AB267" s="542"/>
      <c r="AC267" s="518">
        <v>200</v>
      </c>
      <c r="AD267" s="541"/>
      <c r="AE267" s="542"/>
      <c r="AF267" s="518">
        <v>200</v>
      </c>
      <c r="AG267" s="541"/>
      <c r="AH267" s="542"/>
      <c r="AI267" s="518">
        <v>200</v>
      </c>
      <c r="AJ267" s="541"/>
      <c r="AK267" s="542"/>
      <c r="AL267" s="518">
        <v>200</v>
      </c>
    </row>
    <row r="268" spans="1:38" x14ac:dyDescent="0.35">
      <c r="A268" s="471">
        <f t="shared" si="16"/>
        <v>3600</v>
      </c>
      <c r="B268" s="506" t="s">
        <v>649</v>
      </c>
      <c r="C268" s="541"/>
      <c r="D268" s="542"/>
      <c r="E268" s="518">
        <v>300</v>
      </c>
      <c r="F268" s="541"/>
      <c r="G268" s="542"/>
      <c r="H268" s="518">
        <v>300</v>
      </c>
      <c r="I268" s="541"/>
      <c r="J268" s="542"/>
      <c r="K268" s="518">
        <v>300</v>
      </c>
      <c r="L268" s="541"/>
      <c r="M268" s="542"/>
      <c r="N268" s="518">
        <v>300</v>
      </c>
      <c r="O268" s="541"/>
      <c r="P268" s="542"/>
      <c r="Q268" s="518">
        <v>300</v>
      </c>
      <c r="R268" s="541"/>
      <c r="S268" s="542"/>
      <c r="T268" s="518">
        <v>300</v>
      </c>
      <c r="U268" s="541"/>
      <c r="V268" s="542"/>
      <c r="W268" s="518">
        <v>300</v>
      </c>
      <c r="X268" s="541"/>
      <c r="Y268" s="542"/>
      <c r="Z268" s="518">
        <v>300</v>
      </c>
      <c r="AA268" s="541"/>
      <c r="AB268" s="542"/>
      <c r="AC268" s="518">
        <v>300</v>
      </c>
      <c r="AD268" s="541"/>
      <c r="AE268" s="542"/>
      <c r="AF268" s="518">
        <v>300</v>
      </c>
      <c r="AG268" s="541"/>
      <c r="AH268" s="542"/>
      <c r="AI268" s="518">
        <v>300</v>
      </c>
      <c r="AJ268" s="541"/>
      <c r="AK268" s="542"/>
      <c r="AL268" s="518">
        <v>300</v>
      </c>
    </row>
    <row r="269" spans="1:38" x14ac:dyDescent="0.35">
      <c r="A269" s="471">
        <f t="shared" si="16"/>
        <v>0</v>
      </c>
      <c r="B269" s="506" t="s">
        <v>650</v>
      </c>
      <c r="C269" s="541"/>
      <c r="D269" s="542"/>
      <c r="E269" s="518"/>
      <c r="F269" s="541"/>
      <c r="G269" s="542"/>
      <c r="H269" s="518"/>
      <c r="I269" s="541"/>
      <c r="J269" s="542"/>
      <c r="K269" s="518"/>
      <c r="L269" s="541"/>
      <c r="M269" s="542"/>
      <c r="N269" s="518"/>
      <c r="O269" s="541"/>
      <c r="P269" s="542"/>
      <c r="Q269" s="518"/>
      <c r="R269" s="541"/>
      <c r="S269" s="542"/>
      <c r="T269" s="518"/>
      <c r="U269" s="541"/>
      <c r="V269" s="542"/>
      <c r="W269" s="518"/>
      <c r="X269" s="541"/>
      <c r="Y269" s="542"/>
      <c r="Z269" s="518"/>
      <c r="AA269" s="541"/>
      <c r="AB269" s="542"/>
      <c r="AC269" s="518"/>
      <c r="AD269" s="541"/>
      <c r="AE269" s="542"/>
      <c r="AF269" s="518"/>
      <c r="AG269" s="541"/>
      <c r="AH269" s="542"/>
      <c r="AI269" s="518"/>
      <c r="AJ269" s="541"/>
      <c r="AK269" s="542"/>
      <c r="AL269" s="518"/>
    </row>
    <row r="270" spans="1:38" x14ac:dyDescent="0.35">
      <c r="A270" s="471">
        <f t="shared" si="16"/>
        <v>16140</v>
      </c>
      <c r="B270" s="506" t="s">
        <v>651</v>
      </c>
      <c r="C270" s="541"/>
      <c r="D270" s="542"/>
      <c r="E270" s="518">
        <f>(150+250)+(1350*0.7)</f>
        <v>1345</v>
      </c>
      <c r="F270" s="543"/>
      <c r="G270" s="542"/>
      <c r="H270" s="518">
        <f>E270</f>
        <v>1345</v>
      </c>
      <c r="I270" s="543"/>
      <c r="J270" s="542"/>
      <c r="K270" s="518">
        <f>H270</f>
        <v>1345</v>
      </c>
      <c r="L270" s="543"/>
      <c r="M270" s="542"/>
      <c r="N270" s="518">
        <f>K270</f>
        <v>1345</v>
      </c>
      <c r="O270" s="543"/>
      <c r="P270" s="542"/>
      <c r="Q270" s="518">
        <f>N270</f>
        <v>1345</v>
      </c>
      <c r="R270" s="543"/>
      <c r="S270" s="542"/>
      <c r="T270" s="518">
        <f>Q270</f>
        <v>1345</v>
      </c>
      <c r="U270" s="543"/>
      <c r="V270" s="542"/>
      <c r="W270" s="518">
        <f>T270</f>
        <v>1345</v>
      </c>
      <c r="X270" s="543"/>
      <c r="Y270" s="542"/>
      <c r="Z270" s="518">
        <f>W270</f>
        <v>1345</v>
      </c>
      <c r="AA270" s="543"/>
      <c r="AB270" s="542"/>
      <c r="AC270" s="518">
        <f>Z270</f>
        <v>1345</v>
      </c>
      <c r="AD270" s="543"/>
      <c r="AE270" s="542"/>
      <c r="AF270" s="518">
        <f>AC270</f>
        <v>1345</v>
      </c>
      <c r="AG270" s="543"/>
      <c r="AH270" s="542"/>
      <c r="AI270" s="518">
        <f>AF270</f>
        <v>1345</v>
      </c>
      <c r="AJ270" s="543"/>
      <c r="AK270" s="542"/>
      <c r="AL270" s="518">
        <f>AI270</f>
        <v>1345</v>
      </c>
    </row>
    <row r="271" spans="1:38" x14ac:dyDescent="0.35">
      <c r="A271" s="471">
        <f t="shared" si="16"/>
        <v>6000</v>
      </c>
      <c r="B271" s="506" t="s">
        <v>652</v>
      </c>
      <c r="C271" s="541"/>
      <c r="D271" s="542"/>
      <c r="E271" s="518">
        <v>500</v>
      </c>
      <c r="F271" s="541"/>
      <c r="G271" s="542"/>
      <c r="H271" s="518">
        <v>500</v>
      </c>
      <c r="I271" s="541"/>
      <c r="J271" s="542"/>
      <c r="K271" s="518">
        <v>500</v>
      </c>
      <c r="L271" s="541"/>
      <c r="M271" s="542"/>
      <c r="N271" s="518">
        <v>500</v>
      </c>
      <c r="O271" s="541"/>
      <c r="P271" s="542"/>
      <c r="Q271" s="518">
        <v>500</v>
      </c>
      <c r="R271" s="541"/>
      <c r="S271" s="542"/>
      <c r="T271" s="518">
        <v>500</v>
      </c>
      <c r="U271" s="541"/>
      <c r="V271" s="542"/>
      <c r="W271" s="518">
        <v>500</v>
      </c>
      <c r="X271" s="541"/>
      <c r="Y271" s="542"/>
      <c r="Z271" s="518">
        <v>500</v>
      </c>
      <c r="AA271" s="541"/>
      <c r="AB271" s="542"/>
      <c r="AC271" s="518">
        <v>500</v>
      </c>
      <c r="AD271" s="541"/>
      <c r="AE271" s="542"/>
      <c r="AF271" s="518">
        <v>500</v>
      </c>
      <c r="AG271" s="541"/>
      <c r="AH271" s="542"/>
      <c r="AI271" s="518">
        <v>500</v>
      </c>
      <c r="AJ271" s="541"/>
      <c r="AK271" s="542"/>
      <c r="AL271" s="518">
        <v>500</v>
      </c>
    </row>
    <row r="272" spans="1:38" x14ac:dyDescent="0.35">
      <c r="A272" s="471"/>
      <c r="B272" s="506" t="s">
        <v>655</v>
      </c>
      <c r="C272" s="541"/>
      <c r="D272" s="542"/>
      <c r="E272" s="518"/>
      <c r="F272" s="541"/>
      <c r="G272" s="542"/>
      <c r="H272" s="518"/>
      <c r="I272" s="541"/>
      <c r="J272" s="542"/>
      <c r="K272" s="518"/>
      <c r="L272" s="541"/>
      <c r="M272" s="542"/>
      <c r="N272" s="518"/>
      <c r="O272" s="541"/>
      <c r="P272" s="542"/>
      <c r="Q272" s="518"/>
      <c r="R272" s="541"/>
      <c r="S272" s="542"/>
      <c r="T272" s="518"/>
      <c r="U272" s="541"/>
      <c r="V272" s="542"/>
      <c r="W272" s="518"/>
      <c r="X272" s="541"/>
      <c r="Y272" s="542"/>
      <c r="Z272" s="518"/>
      <c r="AA272" s="541"/>
      <c r="AB272" s="542"/>
      <c r="AC272" s="518"/>
      <c r="AD272" s="541"/>
      <c r="AE272" s="542"/>
      <c r="AF272" s="518"/>
      <c r="AG272" s="541"/>
      <c r="AH272" s="542"/>
      <c r="AI272" s="518"/>
      <c r="AJ272" s="541"/>
      <c r="AK272" s="542"/>
      <c r="AL272" s="518"/>
    </row>
    <row r="273" spans="1:41" x14ac:dyDescent="0.35">
      <c r="A273" s="471"/>
      <c r="B273" s="506" t="s">
        <v>656</v>
      </c>
      <c r="C273" s="541"/>
      <c r="D273" s="542"/>
      <c r="E273" s="518"/>
      <c r="F273" s="541"/>
      <c r="G273" s="542"/>
      <c r="H273" s="518"/>
      <c r="I273" s="541"/>
      <c r="J273" s="542"/>
      <c r="K273" s="518"/>
      <c r="L273" s="541"/>
      <c r="M273" s="542"/>
      <c r="N273" s="518"/>
      <c r="O273" s="541"/>
      <c r="P273" s="542"/>
      <c r="Q273" s="518"/>
      <c r="R273" s="541"/>
      <c r="S273" s="542"/>
      <c r="T273" s="518"/>
      <c r="U273" s="541"/>
      <c r="V273" s="542"/>
      <c r="W273" s="518"/>
      <c r="X273" s="541"/>
      <c r="Y273" s="542"/>
      <c r="Z273" s="518"/>
      <c r="AA273" s="541"/>
      <c r="AB273" s="542"/>
      <c r="AC273" s="518"/>
      <c r="AD273" s="541"/>
      <c r="AE273" s="542"/>
      <c r="AF273" s="518"/>
      <c r="AG273" s="541"/>
      <c r="AH273" s="542"/>
      <c r="AI273" s="518"/>
      <c r="AJ273" s="541"/>
      <c r="AK273" s="542"/>
      <c r="AL273" s="518"/>
    </row>
    <row r="274" spans="1:41" s="110" customFormat="1" x14ac:dyDescent="0.35">
      <c r="A274" s="469">
        <f>SUM(E274,H274,K274,N274,Q274,T274,W274,Z274,AC274,AF274,AI274,AL274)</f>
        <v>61989.999999999993</v>
      </c>
      <c r="B274" s="509" t="s">
        <v>710</v>
      </c>
      <c r="C274" s="539"/>
      <c r="D274" s="540"/>
      <c r="E274" s="510">
        <f>SUM(E256:E273)</f>
        <v>7161.666666666667</v>
      </c>
      <c r="F274" s="539"/>
      <c r="G274" s="540"/>
      <c r="H274" s="510">
        <f>SUM(H256:H273)</f>
        <v>4911.666666666667</v>
      </c>
      <c r="I274" s="539"/>
      <c r="J274" s="540"/>
      <c r="K274" s="510">
        <f>SUM(K256:K273)</f>
        <v>5111.666666666667</v>
      </c>
      <c r="L274" s="539"/>
      <c r="M274" s="540"/>
      <c r="N274" s="510">
        <f>SUM(N256:N273)</f>
        <v>4911.666666666667</v>
      </c>
      <c r="O274" s="539"/>
      <c r="P274" s="540"/>
      <c r="Q274" s="510">
        <f>SUM(Q256:Q273)</f>
        <v>4911.666666666667</v>
      </c>
      <c r="R274" s="539"/>
      <c r="S274" s="540"/>
      <c r="T274" s="510">
        <f>SUM(T256:T273)</f>
        <v>5111.666666666667</v>
      </c>
      <c r="U274" s="539"/>
      <c r="V274" s="540"/>
      <c r="W274" s="510">
        <f>SUM(W256:W273)</f>
        <v>4911.666666666667</v>
      </c>
      <c r="X274" s="539"/>
      <c r="Y274" s="540"/>
      <c r="Z274" s="510">
        <f>SUM(Z256:Z273)</f>
        <v>4911.666666666667</v>
      </c>
      <c r="AA274" s="539"/>
      <c r="AB274" s="540"/>
      <c r="AC274" s="510">
        <f>SUM(AC256:AC273)</f>
        <v>5111.666666666667</v>
      </c>
      <c r="AD274" s="539"/>
      <c r="AE274" s="540"/>
      <c r="AF274" s="510">
        <f>SUM(AF256:AF273)</f>
        <v>4911.666666666667</v>
      </c>
      <c r="AG274" s="539"/>
      <c r="AH274" s="540"/>
      <c r="AI274" s="510">
        <f>SUM(AI256:AI273)</f>
        <v>4911.666666666667</v>
      </c>
      <c r="AJ274" s="539"/>
      <c r="AK274" s="540"/>
      <c r="AL274" s="510">
        <f>SUM(AL256:AL273)</f>
        <v>5111.666666666667</v>
      </c>
    </row>
    <row r="276" spans="1:41" x14ac:dyDescent="0.35">
      <c r="A276" s="469">
        <f>SUM(E276,H276,K276,N276,Q276,T276,W276,Z276,AC276,AF276,AI276,AL276)</f>
        <v>52559.235999999997</v>
      </c>
      <c r="B276" s="509" t="s">
        <v>671</v>
      </c>
      <c r="C276" s="539"/>
      <c r="D276" s="540"/>
      <c r="E276" s="510">
        <f>E243</f>
        <v>4109.7440000000006</v>
      </c>
      <c r="F276" s="539"/>
      <c r="G276" s="540"/>
      <c r="H276" s="510">
        <f>H243</f>
        <v>4109.7440000000006</v>
      </c>
      <c r="I276" s="539"/>
      <c r="J276" s="540"/>
      <c r="K276" s="510">
        <f>K243</f>
        <v>4109.7440000000006</v>
      </c>
      <c r="L276" s="539"/>
      <c r="M276" s="540"/>
      <c r="N276" s="510">
        <f>N243</f>
        <v>4749.7440000000006</v>
      </c>
      <c r="O276" s="539"/>
      <c r="P276" s="540"/>
      <c r="Q276" s="510">
        <f>Q243</f>
        <v>4749.7440000000006</v>
      </c>
      <c r="R276" s="539"/>
      <c r="S276" s="540"/>
      <c r="T276" s="510">
        <f>T243</f>
        <v>6010.8980000000001</v>
      </c>
      <c r="U276" s="539"/>
      <c r="V276" s="540"/>
      <c r="W276" s="510">
        <f>W243</f>
        <v>5770.8980000000001</v>
      </c>
      <c r="X276" s="539"/>
      <c r="Y276" s="540"/>
      <c r="Z276" s="510">
        <f>Z243</f>
        <v>4029.7440000000001</v>
      </c>
      <c r="AA276" s="539"/>
      <c r="AB276" s="540"/>
      <c r="AC276" s="510">
        <f>AC243</f>
        <v>4029.7440000000001</v>
      </c>
      <c r="AD276" s="539"/>
      <c r="AE276" s="540"/>
      <c r="AF276" s="510">
        <f>AF243</f>
        <v>3629.7440000000001</v>
      </c>
      <c r="AG276" s="539"/>
      <c r="AH276" s="540"/>
      <c r="AI276" s="510">
        <f>AI243</f>
        <v>3629.7440000000001</v>
      </c>
      <c r="AJ276" s="539"/>
      <c r="AK276" s="540"/>
      <c r="AL276" s="510">
        <f>AL243</f>
        <v>3629.7440000000001</v>
      </c>
    </row>
    <row r="277" spans="1:41" x14ac:dyDescent="0.35">
      <c r="A277" s="469">
        <f>SUM(E277,H277,K277,N277,Q277,T277,W277,Z277,AC277,AF277,AI277,AL277)</f>
        <v>160606.96000000005</v>
      </c>
      <c r="B277" s="509" t="s">
        <v>672</v>
      </c>
      <c r="C277" s="539"/>
      <c r="D277" s="540"/>
      <c r="E277" s="510">
        <f>E253+E274</f>
        <v>15379.746666666666</v>
      </c>
      <c r="F277" s="539"/>
      <c r="G277" s="540"/>
      <c r="H277" s="510">
        <f>H253+H274</f>
        <v>13129.746666666666</v>
      </c>
      <c r="I277" s="539"/>
      <c r="J277" s="540"/>
      <c r="K277" s="510">
        <f>K253+K274</f>
        <v>13329.746666666666</v>
      </c>
      <c r="L277" s="539"/>
      <c r="M277" s="540"/>
      <c r="N277" s="510">
        <f>N253+N274</f>
        <v>13129.746666666666</v>
      </c>
      <c r="O277" s="539"/>
      <c r="P277" s="540"/>
      <c r="Q277" s="510">
        <f>Q253+Q274</f>
        <v>13129.746666666666</v>
      </c>
      <c r="R277" s="539"/>
      <c r="S277" s="540"/>
      <c r="T277" s="510">
        <f>T253+T274</f>
        <v>13329.746666666666</v>
      </c>
      <c r="U277" s="539"/>
      <c r="V277" s="540"/>
      <c r="W277" s="510">
        <f>W253+W274</f>
        <v>13129.746666666666</v>
      </c>
      <c r="X277" s="539"/>
      <c r="Y277" s="540"/>
      <c r="Z277" s="510">
        <f>Z253+Z274</f>
        <v>13129.746666666666</v>
      </c>
      <c r="AA277" s="539"/>
      <c r="AB277" s="540"/>
      <c r="AC277" s="510">
        <f>AC253+AC274</f>
        <v>13329.746666666666</v>
      </c>
      <c r="AD277" s="539"/>
      <c r="AE277" s="540"/>
      <c r="AF277" s="510">
        <f>AF253+AF274</f>
        <v>13129.746666666666</v>
      </c>
      <c r="AG277" s="539"/>
      <c r="AH277" s="540"/>
      <c r="AI277" s="510">
        <f>AI253+AI274</f>
        <v>13129.746666666666</v>
      </c>
      <c r="AJ277" s="539"/>
      <c r="AK277" s="540"/>
      <c r="AL277" s="510">
        <f>AL253+AL274</f>
        <v>13329.746666666666</v>
      </c>
    </row>
    <row r="278" spans="1:41" x14ac:dyDescent="0.35">
      <c r="A278" s="469">
        <f>SUM(E278,H278,K278,N278,Q278,T278,W278,Z278,AC278,AF278,AI278,AL278)</f>
        <v>-108047.72399999999</v>
      </c>
      <c r="B278" s="509" t="s">
        <v>673</v>
      </c>
      <c r="C278" s="539"/>
      <c r="D278" s="540"/>
      <c r="E278" s="510">
        <f>E276-E277</f>
        <v>-11270.002666666665</v>
      </c>
      <c r="F278" s="539"/>
      <c r="G278" s="540"/>
      <c r="H278" s="510">
        <f>H276-H277</f>
        <v>-9020.0026666666654</v>
      </c>
      <c r="I278" s="539"/>
      <c r="J278" s="540"/>
      <c r="K278" s="510">
        <f>K276-K277</f>
        <v>-9220.0026666666654</v>
      </c>
      <c r="L278" s="539"/>
      <c r="M278" s="540"/>
      <c r="N278" s="510">
        <f>N276-N277</f>
        <v>-8380.0026666666654</v>
      </c>
      <c r="O278" s="539"/>
      <c r="P278" s="540"/>
      <c r="Q278" s="510">
        <f>Q276-Q277</f>
        <v>-8380.0026666666654</v>
      </c>
      <c r="R278" s="539"/>
      <c r="S278" s="540"/>
      <c r="T278" s="510">
        <f>T276-T277</f>
        <v>-7318.8486666666658</v>
      </c>
      <c r="U278" s="539"/>
      <c r="V278" s="540"/>
      <c r="W278" s="510">
        <f>W276-W277</f>
        <v>-7358.8486666666658</v>
      </c>
      <c r="X278" s="539"/>
      <c r="Y278" s="540"/>
      <c r="Z278" s="510">
        <f>Z276-Z277</f>
        <v>-9100.0026666666654</v>
      </c>
      <c r="AA278" s="539"/>
      <c r="AB278" s="540"/>
      <c r="AC278" s="510">
        <f>AC276-AC277</f>
        <v>-9300.0026666666654</v>
      </c>
      <c r="AD278" s="539"/>
      <c r="AE278" s="540"/>
      <c r="AF278" s="510">
        <f>AF276-AF277</f>
        <v>-9500.0026666666654</v>
      </c>
      <c r="AG278" s="539"/>
      <c r="AH278" s="540"/>
      <c r="AI278" s="510">
        <f>AI276-AI277</f>
        <v>-9500.0026666666654</v>
      </c>
      <c r="AJ278" s="539"/>
      <c r="AK278" s="540"/>
      <c r="AL278" s="510">
        <f>AL276-AL277</f>
        <v>-9700.0026666666654</v>
      </c>
    </row>
    <row r="280" spans="1:41" x14ac:dyDescent="0.35">
      <c r="A280" s="551" t="s">
        <v>526</v>
      </c>
      <c r="B280" s="552"/>
      <c r="C280" s="552"/>
      <c r="D280" s="552"/>
      <c r="E280" s="552"/>
      <c r="F280" s="552"/>
      <c r="G280" s="552"/>
      <c r="H280" s="552"/>
      <c r="I280" s="552"/>
      <c r="J280" s="552"/>
      <c r="K280" s="552"/>
      <c r="L280" s="552"/>
      <c r="M280" s="552"/>
      <c r="N280" s="552"/>
      <c r="O280" s="552"/>
      <c r="P280" s="552"/>
      <c r="Q280" s="552"/>
      <c r="R280" s="552"/>
      <c r="S280" s="552"/>
      <c r="T280" s="552"/>
      <c r="U280" s="552"/>
      <c r="V280" s="552"/>
      <c r="W280" s="552"/>
      <c r="X280" s="552"/>
      <c r="Y280" s="552"/>
      <c r="Z280" s="552"/>
      <c r="AA280" s="552"/>
      <c r="AB280" s="552"/>
      <c r="AC280" s="552"/>
      <c r="AD280" s="552"/>
      <c r="AE280" s="552"/>
      <c r="AF280" s="552"/>
      <c r="AG280" s="552"/>
      <c r="AH280" s="552"/>
      <c r="AI280" s="552"/>
      <c r="AJ280" s="552"/>
      <c r="AK280" s="552"/>
      <c r="AL280" s="553"/>
    </row>
    <row r="281" spans="1:41" x14ac:dyDescent="0.35">
      <c r="A281" s="134"/>
      <c r="B281" s="13"/>
      <c r="C281" s="462"/>
      <c r="D281" s="463" t="s">
        <v>510</v>
      </c>
      <c r="E281" s="476" t="s">
        <v>590</v>
      </c>
      <c r="F281" s="462"/>
      <c r="G281" s="463" t="s">
        <v>510</v>
      </c>
      <c r="H281" s="476" t="s">
        <v>589</v>
      </c>
      <c r="I281" s="462"/>
      <c r="J281" s="463" t="s">
        <v>510</v>
      </c>
      <c r="K281" s="476" t="s">
        <v>588</v>
      </c>
      <c r="L281" s="462"/>
      <c r="M281" s="463" t="s">
        <v>510</v>
      </c>
      <c r="N281" s="476" t="s">
        <v>587</v>
      </c>
      <c r="O281" s="462"/>
      <c r="P281" s="463" t="s">
        <v>510</v>
      </c>
      <c r="Q281" s="476" t="s">
        <v>586</v>
      </c>
      <c r="R281" s="462"/>
      <c r="S281" s="463" t="s">
        <v>510</v>
      </c>
      <c r="T281" s="476" t="s">
        <v>585</v>
      </c>
      <c r="U281" s="462"/>
      <c r="V281" s="463" t="s">
        <v>510</v>
      </c>
      <c r="W281" s="476" t="s">
        <v>584</v>
      </c>
      <c r="X281" s="462"/>
      <c r="Y281" s="463" t="s">
        <v>510</v>
      </c>
      <c r="Z281" s="476" t="s">
        <v>583</v>
      </c>
      <c r="AA281" s="462"/>
      <c r="AB281" s="463" t="s">
        <v>510</v>
      </c>
      <c r="AC281" s="476" t="s">
        <v>582</v>
      </c>
      <c r="AD281" s="462"/>
      <c r="AE281" s="463" t="s">
        <v>510</v>
      </c>
      <c r="AF281" s="476" t="s">
        <v>581</v>
      </c>
      <c r="AG281" s="462"/>
      <c r="AH281" s="463" t="s">
        <v>510</v>
      </c>
      <c r="AI281" s="476" t="s">
        <v>580</v>
      </c>
      <c r="AJ281" s="462"/>
      <c r="AK281" s="463" t="s">
        <v>510</v>
      </c>
      <c r="AL281" s="476" t="s">
        <v>579</v>
      </c>
      <c r="AN281" t="s">
        <v>739</v>
      </c>
      <c r="AO281" s="446">
        <f>SUM(A285:A292)</f>
        <v>21204</v>
      </c>
    </row>
    <row r="282" spans="1:41" x14ac:dyDescent="0.35">
      <c r="A282" s="134"/>
      <c r="B282" s="526"/>
      <c r="C282" s="465"/>
      <c r="D282" s="527" t="s">
        <v>35</v>
      </c>
      <c r="E282" s="469">
        <f>SUM(E285:E307)</f>
        <v>4316.7440000000006</v>
      </c>
      <c r="F282" s="465"/>
      <c r="G282" s="527" t="s">
        <v>35</v>
      </c>
      <c r="H282" s="469">
        <f>SUM(H285:H307)</f>
        <v>4496.7440000000006</v>
      </c>
      <c r="I282" s="465"/>
      <c r="J282" s="527" t="s">
        <v>35</v>
      </c>
      <c r="K282" s="469">
        <f>SUM(K285:K307)</f>
        <v>4496.7440000000006</v>
      </c>
      <c r="L282" s="465"/>
      <c r="M282" s="527" t="s">
        <v>35</v>
      </c>
      <c r="N282" s="469">
        <f>SUM(N285:N307)</f>
        <v>5235.1973333333335</v>
      </c>
      <c r="O282" s="465"/>
      <c r="P282" s="527" t="s">
        <v>35</v>
      </c>
      <c r="Q282" s="469">
        <f>SUM(Q285:Q307)</f>
        <v>5439.1973333333335</v>
      </c>
      <c r="R282" s="465"/>
      <c r="S282" s="527" t="s">
        <v>35</v>
      </c>
      <c r="T282" s="469">
        <f>SUM(T285:T307)</f>
        <v>7826.5053333333326</v>
      </c>
      <c r="U282" s="465"/>
      <c r="V282" s="527" t="s">
        <v>35</v>
      </c>
      <c r="W282" s="469">
        <f>SUM(W285:W307)</f>
        <v>7623.0519999999997</v>
      </c>
      <c r="X282" s="465"/>
      <c r="Y282" s="527" t="s">
        <v>35</v>
      </c>
      <c r="Z282" s="469">
        <f>SUM(Z285:Z307)</f>
        <v>4704.7440000000006</v>
      </c>
      <c r="AA282" s="465"/>
      <c r="AB282" s="527" t="s">
        <v>35</v>
      </c>
      <c r="AC282" s="469">
        <f>SUM(AC285:AC307)</f>
        <v>4416.7440000000006</v>
      </c>
      <c r="AD282" s="465"/>
      <c r="AE282" s="527" t="s">
        <v>35</v>
      </c>
      <c r="AF282" s="469">
        <f>SUM(AF285:AF307)</f>
        <v>4016.7440000000001</v>
      </c>
      <c r="AG282" s="465"/>
      <c r="AH282" s="527" t="s">
        <v>35</v>
      </c>
      <c r="AI282" s="469">
        <f>SUM(AI285:AI307)</f>
        <v>4016.7440000000001</v>
      </c>
      <c r="AJ282" s="465"/>
      <c r="AK282" s="527" t="s">
        <v>35</v>
      </c>
      <c r="AL282" s="469">
        <f>SUM(AL285:AL307)</f>
        <v>4016.7440000000001</v>
      </c>
      <c r="AN282" s="114" t="s">
        <v>740</v>
      </c>
      <c r="AO282" s="446">
        <f>SUM(A301,A302,A303,A306)</f>
        <v>15256.616</v>
      </c>
    </row>
    <row r="283" spans="1:41" x14ac:dyDescent="0.35">
      <c r="A283" s="474" t="s">
        <v>270</v>
      </c>
      <c r="B283" s="528"/>
      <c r="C283" s="546" t="s">
        <v>512</v>
      </c>
      <c r="D283" s="547"/>
      <c r="E283" s="548"/>
      <c r="F283" s="546" t="s">
        <v>512</v>
      </c>
      <c r="G283" s="547"/>
      <c r="H283" s="548"/>
      <c r="I283" s="546" t="s">
        <v>512</v>
      </c>
      <c r="J283" s="547"/>
      <c r="K283" s="548"/>
      <c r="L283" s="546" t="s">
        <v>512</v>
      </c>
      <c r="M283" s="547"/>
      <c r="N283" s="548"/>
      <c r="O283" s="546" t="s">
        <v>512</v>
      </c>
      <c r="P283" s="547"/>
      <c r="Q283" s="548"/>
      <c r="R283" s="546" t="s">
        <v>512</v>
      </c>
      <c r="S283" s="547"/>
      <c r="T283" s="548"/>
      <c r="U283" s="546" t="s">
        <v>512</v>
      </c>
      <c r="V283" s="547"/>
      <c r="W283" s="548"/>
      <c r="X283" s="546" t="s">
        <v>512</v>
      </c>
      <c r="Y283" s="547"/>
      <c r="Z283" s="548"/>
      <c r="AA283" s="546" t="s">
        <v>512</v>
      </c>
      <c r="AB283" s="547"/>
      <c r="AC283" s="548"/>
      <c r="AD283" s="546" t="s">
        <v>512</v>
      </c>
      <c r="AE283" s="547"/>
      <c r="AF283" s="548"/>
      <c r="AG283" s="546" t="s">
        <v>512</v>
      </c>
      <c r="AH283" s="547"/>
      <c r="AI283" s="548"/>
      <c r="AJ283" s="546" t="s">
        <v>512</v>
      </c>
      <c r="AK283" s="547"/>
      <c r="AL283" s="548"/>
      <c r="AN283" s="114" t="s">
        <v>741</v>
      </c>
      <c r="AO283" s="446">
        <f>SUM(A293:A300)</f>
        <v>14925</v>
      </c>
    </row>
    <row r="284" spans="1:41" x14ac:dyDescent="0.35">
      <c r="A284" s="471">
        <f>SUM(A285:A307)</f>
        <v>60605.904000000002</v>
      </c>
      <c r="B284" s="473" t="s">
        <v>711</v>
      </c>
      <c r="C284" s="466" t="s">
        <v>509</v>
      </c>
      <c r="D284" s="467" t="s">
        <v>15</v>
      </c>
      <c r="E284" s="468" t="s">
        <v>368</v>
      </c>
      <c r="F284" s="466" t="s">
        <v>509</v>
      </c>
      <c r="G284" s="467" t="s">
        <v>15</v>
      </c>
      <c r="H284" s="468" t="s">
        <v>368</v>
      </c>
      <c r="I284" s="466" t="s">
        <v>509</v>
      </c>
      <c r="J284" s="467" t="s">
        <v>15</v>
      </c>
      <c r="K284" s="468" t="s">
        <v>368</v>
      </c>
      <c r="L284" s="466" t="s">
        <v>509</v>
      </c>
      <c r="M284" s="467" t="s">
        <v>15</v>
      </c>
      <c r="N284" s="468" t="s">
        <v>368</v>
      </c>
      <c r="O284" s="466" t="s">
        <v>509</v>
      </c>
      <c r="P284" s="467" t="s">
        <v>15</v>
      </c>
      <c r="Q284" s="468" t="s">
        <v>368</v>
      </c>
      <c r="R284" s="466" t="s">
        <v>509</v>
      </c>
      <c r="S284" s="467" t="s">
        <v>15</v>
      </c>
      <c r="T284" s="468" t="s">
        <v>368</v>
      </c>
      <c r="U284" s="466" t="s">
        <v>509</v>
      </c>
      <c r="V284" s="467" t="s">
        <v>15</v>
      </c>
      <c r="W284" s="468" t="s">
        <v>368</v>
      </c>
      <c r="X284" s="466" t="s">
        <v>509</v>
      </c>
      <c r="Y284" s="467" t="s">
        <v>15</v>
      </c>
      <c r="Z284" s="468" t="s">
        <v>368</v>
      </c>
      <c r="AA284" s="466" t="s">
        <v>509</v>
      </c>
      <c r="AB284" s="467" t="s">
        <v>15</v>
      </c>
      <c r="AC284" s="468" t="s">
        <v>368</v>
      </c>
      <c r="AD284" s="466" t="s">
        <v>509</v>
      </c>
      <c r="AE284" s="467" t="s">
        <v>15</v>
      </c>
      <c r="AF284" s="468" t="s">
        <v>368</v>
      </c>
      <c r="AG284" s="466" t="s">
        <v>509</v>
      </c>
      <c r="AH284" s="467" t="s">
        <v>15</v>
      </c>
      <c r="AI284" s="468" t="s">
        <v>368</v>
      </c>
      <c r="AJ284" s="466" t="s">
        <v>509</v>
      </c>
      <c r="AK284" s="467" t="s">
        <v>15</v>
      </c>
      <c r="AL284" s="468" t="s">
        <v>368</v>
      </c>
    </row>
    <row r="285" spans="1:41" x14ac:dyDescent="0.35">
      <c r="A285" s="471">
        <f t="shared" ref="A285:A305" si="17">SUM(E285,H285,K285,N285,Q285,T285,W285,Z285,AC285,AF285,AI285,AL285)</f>
        <v>180</v>
      </c>
      <c r="B285" s="513" t="s">
        <v>483</v>
      </c>
      <c r="C285" s="521">
        <v>3</v>
      </c>
      <c r="D285" s="522" t="str">
        <f>RevenueStreams!$E$12</f>
        <v>Per Hr</v>
      </c>
      <c r="E285" s="461">
        <f>C285*RevenueStreams!$D$12</f>
        <v>15</v>
      </c>
      <c r="F285" s="521">
        <v>3</v>
      </c>
      <c r="G285" s="522" t="str">
        <f>RevenueStreams!$E$12</f>
        <v>Per Hr</v>
      </c>
      <c r="H285" s="461">
        <f>F285*RevenueStreams!$D$12</f>
        <v>15</v>
      </c>
      <c r="I285" s="521">
        <v>3</v>
      </c>
      <c r="J285" s="522" t="str">
        <f>RevenueStreams!$E$12</f>
        <v>Per Hr</v>
      </c>
      <c r="K285" s="461">
        <f>I285*RevenueStreams!$D$12</f>
        <v>15</v>
      </c>
      <c r="L285" s="521">
        <v>3</v>
      </c>
      <c r="M285" s="522" t="str">
        <f>RevenueStreams!$E$12</f>
        <v>Per Hr</v>
      </c>
      <c r="N285" s="461">
        <f>L285*RevenueStreams!$D$12</f>
        <v>15</v>
      </c>
      <c r="O285" s="521">
        <v>3</v>
      </c>
      <c r="P285" s="522" t="str">
        <f>RevenueStreams!$E$12</f>
        <v>Per Hr</v>
      </c>
      <c r="Q285" s="461">
        <f>O285*RevenueStreams!$D$12</f>
        <v>15</v>
      </c>
      <c r="R285" s="521">
        <v>3</v>
      </c>
      <c r="S285" s="522" t="str">
        <f>RevenueStreams!$E$12</f>
        <v>Per Hr</v>
      </c>
      <c r="T285" s="461">
        <f>R285*RevenueStreams!$D$12</f>
        <v>15</v>
      </c>
      <c r="U285" s="521">
        <v>3</v>
      </c>
      <c r="V285" s="522" t="str">
        <f>RevenueStreams!$E$12</f>
        <v>Per Hr</v>
      </c>
      <c r="W285" s="461">
        <f>U285*RevenueStreams!$D$12</f>
        <v>15</v>
      </c>
      <c r="X285" s="521">
        <v>3</v>
      </c>
      <c r="Y285" s="522" t="str">
        <f>RevenueStreams!$E$12</f>
        <v>Per Hr</v>
      </c>
      <c r="Z285" s="461">
        <f>X285*RevenueStreams!$D$12</f>
        <v>15</v>
      </c>
      <c r="AA285" s="521">
        <v>3</v>
      </c>
      <c r="AB285" s="522" t="str">
        <f>RevenueStreams!$E$12</f>
        <v>Per Hr</v>
      </c>
      <c r="AC285" s="461">
        <f>AA285*RevenueStreams!$D$12</f>
        <v>15</v>
      </c>
      <c r="AD285" s="521">
        <v>3</v>
      </c>
      <c r="AE285" s="522" t="str">
        <f>RevenueStreams!$E$12</f>
        <v>Per Hr</v>
      </c>
      <c r="AF285" s="461">
        <f>AD285*RevenueStreams!$D$12</f>
        <v>15</v>
      </c>
      <c r="AG285" s="521">
        <v>3</v>
      </c>
      <c r="AH285" s="522" t="str">
        <f>RevenueStreams!$E$12</f>
        <v>Per Hr</v>
      </c>
      <c r="AI285" s="461">
        <f>AG285*RevenueStreams!$D$12</f>
        <v>15</v>
      </c>
      <c r="AJ285" s="521">
        <v>3</v>
      </c>
      <c r="AK285" s="522" t="str">
        <f>RevenueStreams!$E$12</f>
        <v>Per Hr</v>
      </c>
      <c r="AL285" s="461">
        <f>AJ285*RevenueStreams!$D$12</f>
        <v>15</v>
      </c>
    </row>
    <row r="286" spans="1:41" x14ac:dyDescent="0.35">
      <c r="A286" s="471">
        <f t="shared" si="17"/>
        <v>2304</v>
      </c>
      <c r="B286" s="513" t="s">
        <v>484</v>
      </c>
      <c r="C286" s="521">
        <v>1</v>
      </c>
      <c r="D286" s="522" t="str">
        <f>RevenueStreams!$E$13</f>
        <v>Per Mo</v>
      </c>
      <c r="E286" s="461">
        <f>C286*RevenueStreams!$D$13</f>
        <v>192</v>
      </c>
      <c r="F286" s="521">
        <v>1</v>
      </c>
      <c r="G286" s="522" t="str">
        <f>RevenueStreams!$E$13</f>
        <v>Per Mo</v>
      </c>
      <c r="H286" s="461">
        <f>F286*RevenueStreams!$D$13</f>
        <v>192</v>
      </c>
      <c r="I286" s="521">
        <v>1</v>
      </c>
      <c r="J286" s="522" t="str">
        <f>RevenueStreams!$E$13</f>
        <v>Per Mo</v>
      </c>
      <c r="K286" s="461">
        <f>I286*RevenueStreams!$D$13</f>
        <v>192</v>
      </c>
      <c r="L286" s="521">
        <v>1</v>
      </c>
      <c r="M286" s="522" t="str">
        <f>RevenueStreams!$E$13</f>
        <v>Per Mo</v>
      </c>
      <c r="N286" s="461">
        <f>L286*RevenueStreams!$D$13</f>
        <v>192</v>
      </c>
      <c r="O286" s="521">
        <v>1</v>
      </c>
      <c r="P286" s="522" t="str">
        <f>RevenueStreams!$E$13</f>
        <v>Per Mo</v>
      </c>
      <c r="Q286" s="461">
        <f>O286*RevenueStreams!$D$13</f>
        <v>192</v>
      </c>
      <c r="R286" s="521">
        <v>1</v>
      </c>
      <c r="S286" s="522" t="str">
        <f>RevenueStreams!$E$13</f>
        <v>Per Mo</v>
      </c>
      <c r="T286" s="461">
        <f>R286*RevenueStreams!$D$13</f>
        <v>192</v>
      </c>
      <c r="U286" s="521">
        <v>1</v>
      </c>
      <c r="V286" s="522" t="str">
        <f>RevenueStreams!$E$13</f>
        <v>Per Mo</v>
      </c>
      <c r="W286" s="461">
        <f>U286*RevenueStreams!$D$13</f>
        <v>192</v>
      </c>
      <c r="X286" s="521">
        <v>1</v>
      </c>
      <c r="Y286" s="522" t="str">
        <f>RevenueStreams!$E$13</f>
        <v>Per Mo</v>
      </c>
      <c r="Z286" s="461">
        <f>X286*RevenueStreams!$D$13</f>
        <v>192</v>
      </c>
      <c r="AA286" s="521">
        <v>1</v>
      </c>
      <c r="AB286" s="522" t="str">
        <f>RevenueStreams!$E$13</f>
        <v>Per Mo</v>
      </c>
      <c r="AC286" s="461">
        <f>AA286*RevenueStreams!$D$13</f>
        <v>192</v>
      </c>
      <c r="AD286" s="521">
        <v>1</v>
      </c>
      <c r="AE286" s="522" t="str">
        <f>RevenueStreams!$E$13</f>
        <v>Per Mo</v>
      </c>
      <c r="AF286" s="461">
        <f>AD286*RevenueStreams!$D$13</f>
        <v>192</v>
      </c>
      <c r="AG286" s="521">
        <v>1</v>
      </c>
      <c r="AH286" s="522" t="str">
        <f>RevenueStreams!$E$13</f>
        <v>Per Mo</v>
      </c>
      <c r="AI286" s="461">
        <f>AG286*RevenueStreams!$D$13</f>
        <v>192</v>
      </c>
      <c r="AJ286" s="521">
        <v>1</v>
      </c>
      <c r="AK286" s="522" t="str">
        <f>RevenueStreams!$E$13</f>
        <v>Per Mo</v>
      </c>
      <c r="AL286" s="461">
        <f>AJ286*RevenueStreams!$D$13</f>
        <v>192</v>
      </c>
    </row>
    <row r="287" spans="1:41" x14ac:dyDescent="0.35">
      <c r="A287" s="471">
        <f t="shared" si="17"/>
        <v>2304</v>
      </c>
      <c r="B287" s="513" t="s">
        <v>485</v>
      </c>
      <c r="C287" s="521">
        <v>1</v>
      </c>
      <c r="D287" s="523" t="str">
        <f>RevenueStreams!$E$14</f>
        <v>Per Mo</v>
      </c>
      <c r="E287" s="461">
        <f>C287*RevenueStreams!$D$14</f>
        <v>192</v>
      </c>
      <c r="F287" s="521">
        <v>1</v>
      </c>
      <c r="G287" s="523" t="str">
        <f>RevenueStreams!$E$14</f>
        <v>Per Mo</v>
      </c>
      <c r="H287" s="461">
        <f>F287*RevenueStreams!$D$14</f>
        <v>192</v>
      </c>
      <c r="I287" s="521">
        <v>1</v>
      </c>
      <c r="J287" s="523" t="str">
        <f>RevenueStreams!$E$14</f>
        <v>Per Mo</v>
      </c>
      <c r="K287" s="461">
        <f>I287*RevenueStreams!$D$14</f>
        <v>192</v>
      </c>
      <c r="L287" s="521">
        <v>1</v>
      </c>
      <c r="M287" s="523" t="str">
        <f>RevenueStreams!$E$14</f>
        <v>Per Mo</v>
      </c>
      <c r="N287" s="461">
        <f>L287*RevenueStreams!$D$14</f>
        <v>192</v>
      </c>
      <c r="O287" s="521">
        <v>1</v>
      </c>
      <c r="P287" s="523" t="str">
        <f>RevenueStreams!$E$14</f>
        <v>Per Mo</v>
      </c>
      <c r="Q287" s="461">
        <f>O287*RevenueStreams!$D$14</f>
        <v>192</v>
      </c>
      <c r="R287" s="521">
        <v>1</v>
      </c>
      <c r="S287" s="523" t="str">
        <f>RevenueStreams!$E$14</f>
        <v>Per Mo</v>
      </c>
      <c r="T287" s="461">
        <f>R287*RevenueStreams!$D$14</f>
        <v>192</v>
      </c>
      <c r="U287" s="521">
        <v>1</v>
      </c>
      <c r="V287" s="523" t="str">
        <f>RevenueStreams!$E$14</f>
        <v>Per Mo</v>
      </c>
      <c r="W287" s="461">
        <f>U287*RevenueStreams!$D$14</f>
        <v>192</v>
      </c>
      <c r="X287" s="521">
        <v>1</v>
      </c>
      <c r="Y287" s="523" t="str">
        <f>RevenueStreams!$E$14</f>
        <v>Per Mo</v>
      </c>
      <c r="Z287" s="461">
        <f>X287*RevenueStreams!$D$14</f>
        <v>192</v>
      </c>
      <c r="AA287" s="521">
        <v>1</v>
      </c>
      <c r="AB287" s="523" t="str">
        <f>RevenueStreams!$E$14</f>
        <v>Per Mo</v>
      </c>
      <c r="AC287" s="461">
        <f>AA287*RevenueStreams!$D$14</f>
        <v>192</v>
      </c>
      <c r="AD287" s="521">
        <v>1</v>
      </c>
      <c r="AE287" s="523" t="str">
        <f>RevenueStreams!$E$14</f>
        <v>Per Mo</v>
      </c>
      <c r="AF287" s="461">
        <f>AD287*RevenueStreams!$D$14</f>
        <v>192</v>
      </c>
      <c r="AG287" s="521">
        <v>1</v>
      </c>
      <c r="AH287" s="523" t="str">
        <f>RevenueStreams!$E$14</f>
        <v>Per Mo</v>
      </c>
      <c r="AI287" s="461">
        <f>AG287*RevenueStreams!$D$14</f>
        <v>192</v>
      </c>
      <c r="AJ287" s="521">
        <v>1</v>
      </c>
      <c r="AK287" s="523" t="str">
        <f>RevenueStreams!$E$14</f>
        <v>Per Mo</v>
      </c>
      <c r="AL287" s="461">
        <f>AJ287*RevenueStreams!$D$14</f>
        <v>192</v>
      </c>
    </row>
    <row r="288" spans="1:41" x14ac:dyDescent="0.35">
      <c r="A288" s="471">
        <f t="shared" si="17"/>
        <v>2304</v>
      </c>
      <c r="B288" s="513" t="s">
        <v>486</v>
      </c>
      <c r="C288" s="521">
        <v>1</v>
      </c>
      <c r="D288" s="523" t="str">
        <f>RevenueStreams!$E$15</f>
        <v>Per Mo</v>
      </c>
      <c r="E288" s="461">
        <f>C288*RevenueStreams!$D$15</f>
        <v>192</v>
      </c>
      <c r="F288" s="521">
        <v>1</v>
      </c>
      <c r="G288" s="523" t="str">
        <f>RevenueStreams!$E$15</f>
        <v>Per Mo</v>
      </c>
      <c r="H288" s="461">
        <f>F288*RevenueStreams!$D$15</f>
        <v>192</v>
      </c>
      <c r="I288" s="521">
        <v>1</v>
      </c>
      <c r="J288" s="523" t="str">
        <f>RevenueStreams!$E$15</f>
        <v>Per Mo</v>
      </c>
      <c r="K288" s="461">
        <f>I288*RevenueStreams!$D$15</f>
        <v>192</v>
      </c>
      <c r="L288" s="521">
        <v>1</v>
      </c>
      <c r="M288" s="523" t="str">
        <f>RevenueStreams!$E$15</f>
        <v>Per Mo</v>
      </c>
      <c r="N288" s="461">
        <f>L288*RevenueStreams!$D$15</f>
        <v>192</v>
      </c>
      <c r="O288" s="521">
        <v>1</v>
      </c>
      <c r="P288" s="523" t="str">
        <f>RevenueStreams!$E$15</f>
        <v>Per Mo</v>
      </c>
      <c r="Q288" s="461">
        <f>O288*RevenueStreams!$D$15</f>
        <v>192</v>
      </c>
      <c r="R288" s="521">
        <v>1</v>
      </c>
      <c r="S288" s="523" t="str">
        <f>RevenueStreams!$E$15</f>
        <v>Per Mo</v>
      </c>
      <c r="T288" s="461">
        <f>R288*RevenueStreams!$D$15</f>
        <v>192</v>
      </c>
      <c r="U288" s="521">
        <v>1</v>
      </c>
      <c r="V288" s="523" t="str">
        <f>RevenueStreams!$E$15</f>
        <v>Per Mo</v>
      </c>
      <c r="W288" s="461">
        <f>U288*RevenueStreams!$D$15</f>
        <v>192</v>
      </c>
      <c r="X288" s="521">
        <v>1</v>
      </c>
      <c r="Y288" s="523" t="str">
        <f>RevenueStreams!$E$15</f>
        <v>Per Mo</v>
      </c>
      <c r="Z288" s="461">
        <f>X288*RevenueStreams!$D$15</f>
        <v>192</v>
      </c>
      <c r="AA288" s="521">
        <v>1</v>
      </c>
      <c r="AB288" s="523" t="str">
        <f>RevenueStreams!$E$15</f>
        <v>Per Mo</v>
      </c>
      <c r="AC288" s="461">
        <f>AA288*RevenueStreams!$D$15</f>
        <v>192</v>
      </c>
      <c r="AD288" s="521">
        <v>1</v>
      </c>
      <c r="AE288" s="523" t="str">
        <f>RevenueStreams!$E$15</f>
        <v>Per Mo</v>
      </c>
      <c r="AF288" s="461">
        <f>AD288*RevenueStreams!$D$15</f>
        <v>192</v>
      </c>
      <c r="AG288" s="521">
        <v>1</v>
      </c>
      <c r="AH288" s="523" t="str">
        <f>RevenueStreams!$E$15</f>
        <v>Per Mo</v>
      </c>
      <c r="AI288" s="461">
        <f>AG288*RevenueStreams!$D$15</f>
        <v>192</v>
      </c>
      <c r="AJ288" s="521">
        <v>1</v>
      </c>
      <c r="AK288" s="523" t="str">
        <f>RevenueStreams!$E$15</f>
        <v>Per Mo</v>
      </c>
      <c r="AL288" s="461">
        <f>AJ288*RevenueStreams!$D$15</f>
        <v>192</v>
      </c>
    </row>
    <row r="289" spans="1:38" x14ac:dyDescent="0.35">
      <c r="A289" s="471">
        <f t="shared" si="17"/>
        <v>3456</v>
      </c>
      <c r="B289" s="513" t="s">
        <v>530</v>
      </c>
      <c r="C289" s="521">
        <v>1</v>
      </c>
      <c r="D289" s="523" t="str">
        <f>RevenueStreams!$E$16</f>
        <v>Per Mo</v>
      </c>
      <c r="E289" s="461">
        <f>C289*RevenueStreams!$D$16</f>
        <v>288</v>
      </c>
      <c r="F289" s="521">
        <v>1</v>
      </c>
      <c r="G289" s="523" t="str">
        <f>RevenueStreams!$E$16</f>
        <v>Per Mo</v>
      </c>
      <c r="H289" s="461">
        <f>F289*RevenueStreams!$D$16</f>
        <v>288</v>
      </c>
      <c r="I289" s="521">
        <v>1</v>
      </c>
      <c r="J289" s="523" t="str">
        <f>RevenueStreams!$E$16</f>
        <v>Per Mo</v>
      </c>
      <c r="K289" s="461">
        <f>I289*RevenueStreams!$D$16</f>
        <v>288</v>
      </c>
      <c r="L289" s="521">
        <v>1</v>
      </c>
      <c r="M289" s="523" t="str">
        <f>RevenueStreams!$E$16</f>
        <v>Per Mo</v>
      </c>
      <c r="N289" s="461">
        <f>L289*RevenueStreams!$D$16</f>
        <v>288</v>
      </c>
      <c r="O289" s="521">
        <v>1</v>
      </c>
      <c r="P289" s="523" t="str">
        <f>RevenueStreams!$E$16</f>
        <v>Per Mo</v>
      </c>
      <c r="Q289" s="461">
        <f>O289*RevenueStreams!$D$16</f>
        <v>288</v>
      </c>
      <c r="R289" s="521">
        <v>1</v>
      </c>
      <c r="S289" s="523" t="str">
        <f>RevenueStreams!$E$16</f>
        <v>Per Mo</v>
      </c>
      <c r="T289" s="461">
        <f>R289*RevenueStreams!$D$16</f>
        <v>288</v>
      </c>
      <c r="U289" s="521">
        <v>1</v>
      </c>
      <c r="V289" s="523" t="str">
        <f>RevenueStreams!$E$16</f>
        <v>Per Mo</v>
      </c>
      <c r="W289" s="461">
        <f>U289*RevenueStreams!$D$16</f>
        <v>288</v>
      </c>
      <c r="X289" s="521">
        <v>1</v>
      </c>
      <c r="Y289" s="523" t="str">
        <f>RevenueStreams!$E$16</f>
        <v>Per Mo</v>
      </c>
      <c r="Z289" s="461">
        <f>X289*RevenueStreams!$D$16</f>
        <v>288</v>
      </c>
      <c r="AA289" s="521">
        <v>1</v>
      </c>
      <c r="AB289" s="523" t="str">
        <f>RevenueStreams!$E$16</f>
        <v>Per Mo</v>
      </c>
      <c r="AC289" s="461">
        <f>AA289*RevenueStreams!$D$16</f>
        <v>288</v>
      </c>
      <c r="AD289" s="521">
        <v>1</v>
      </c>
      <c r="AE289" s="523" t="str">
        <f>RevenueStreams!$E$16</f>
        <v>Per Mo</v>
      </c>
      <c r="AF289" s="461">
        <f>AD289*RevenueStreams!$D$16</f>
        <v>288</v>
      </c>
      <c r="AG289" s="521">
        <v>1</v>
      </c>
      <c r="AH289" s="523" t="str">
        <f>RevenueStreams!$E$16</f>
        <v>Per Mo</v>
      </c>
      <c r="AI289" s="461">
        <f>AG289*RevenueStreams!$D$16</f>
        <v>288</v>
      </c>
      <c r="AJ289" s="521">
        <v>1</v>
      </c>
      <c r="AK289" s="523" t="str">
        <f>RevenueStreams!$E$16</f>
        <v>Per Mo</v>
      </c>
      <c r="AL289" s="461">
        <f>AJ289*RevenueStreams!$D$16</f>
        <v>288</v>
      </c>
    </row>
    <row r="290" spans="1:38" x14ac:dyDescent="0.35">
      <c r="A290" s="471">
        <f t="shared" si="17"/>
        <v>3456</v>
      </c>
      <c r="B290" s="513" t="s">
        <v>487</v>
      </c>
      <c r="C290" s="521">
        <v>1</v>
      </c>
      <c r="D290" s="523" t="str">
        <f>RevenueStreams!$E$17</f>
        <v>Per Mo</v>
      </c>
      <c r="E290" s="461">
        <f>C290*RevenueStreams!$D$17</f>
        <v>288</v>
      </c>
      <c r="F290" s="521">
        <v>1</v>
      </c>
      <c r="G290" s="523" t="str">
        <f>RevenueStreams!$E$17</f>
        <v>Per Mo</v>
      </c>
      <c r="H290" s="461">
        <f>F290*RevenueStreams!$D$17</f>
        <v>288</v>
      </c>
      <c r="I290" s="521">
        <v>1</v>
      </c>
      <c r="J290" s="523" t="str">
        <f>RevenueStreams!$E$17</f>
        <v>Per Mo</v>
      </c>
      <c r="K290" s="461">
        <f>I290*RevenueStreams!$D$17</f>
        <v>288</v>
      </c>
      <c r="L290" s="521">
        <v>1</v>
      </c>
      <c r="M290" s="523" t="str">
        <f>RevenueStreams!$E$17</f>
        <v>Per Mo</v>
      </c>
      <c r="N290" s="461">
        <f>L290*RevenueStreams!$D$17</f>
        <v>288</v>
      </c>
      <c r="O290" s="521">
        <v>1</v>
      </c>
      <c r="P290" s="523" t="str">
        <f>RevenueStreams!$E$17</f>
        <v>Per Mo</v>
      </c>
      <c r="Q290" s="461">
        <f>O290*RevenueStreams!$D$17</f>
        <v>288</v>
      </c>
      <c r="R290" s="521">
        <v>1</v>
      </c>
      <c r="S290" s="523" t="str">
        <f>RevenueStreams!$E$17</f>
        <v>Per Mo</v>
      </c>
      <c r="T290" s="461">
        <f>R290*RevenueStreams!$D$17</f>
        <v>288</v>
      </c>
      <c r="U290" s="521">
        <v>1</v>
      </c>
      <c r="V290" s="523" t="str">
        <f>RevenueStreams!$E$17</f>
        <v>Per Mo</v>
      </c>
      <c r="W290" s="461">
        <f>U290*RevenueStreams!$D$17</f>
        <v>288</v>
      </c>
      <c r="X290" s="521">
        <v>1</v>
      </c>
      <c r="Y290" s="523" t="str">
        <f>RevenueStreams!$E$17</f>
        <v>Per Mo</v>
      </c>
      <c r="Z290" s="461">
        <f>X290*RevenueStreams!$D$17</f>
        <v>288</v>
      </c>
      <c r="AA290" s="521">
        <v>1</v>
      </c>
      <c r="AB290" s="523" t="str">
        <f>RevenueStreams!$E$17</f>
        <v>Per Mo</v>
      </c>
      <c r="AC290" s="461">
        <f>AA290*RevenueStreams!$D$17</f>
        <v>288</v>
      </c>
      <c r="AD290" s="521">
        <v>1</v>
      </c>
      <c r="AE290" s="523" t="str">
        <f>RevenueStreams!$E$17</f>
        <v>Per Mo</v>
      </c>
      <c r="AF290" s="461">
        <f>AD290*RevenueStreams!$D$17</f>
        <v>288</v>
      </c>
      <c r="AG290" s="521">
        <v>1</v>
      </c>
      <c r="AH290" s="523" t="str">
        <f>RevenueStreams!$E$17</f>
        <v>Per Mo</v>
      </c>
      <c r="AI290" s="461">
        <f>AG290*RevenueStreams!$D$17</f>
        <v>288</v>
      </c>
      <c r="AJ290" s="521">
        <v>1</v>
      </c>
      <c r="AK290" s="523" t="str">
        <f>RevenueStreams!$E$17</f>
        <v>Per Mo</v>
      </c>
      <c r="AL290" s="461">
        <f>AJ290*RevenueStreams!$D$17</f>
        <v>288</v>
      </c>
    </row>
    <row r="291" spans="1:38" x14ac:dyDescent="0.35">
      <c r="A291" s="471">
        <f t="shared" si="17"/>
        <v>288</v>
      </c>
      <c r="B291" s="513" t="s">
        <v>488</v>
      </c>
      <c r="C291" s="521">
        <v>0</v>
      </c>
      <c r="D291" s="523" t="str">
        <f>RevenueStreams!$E$18</f>
        <v>Per Mo</v>
      </c>
      <c r="E291" s="461">
        <f>C291*RevenueStreams!$D$18</f>
        <v>0</v>
      </c>
      <c r="F291" s="521">
        <v>0</v>
      </c>
      <c r="G291" s="523" t="str">
        <f>RevenueStreams!$E$18</f>
        <v>Per Mo</v>
      </c>
      <c r="H291" s="461">
        <f>F291*RevenueStreams!$D$18</f>
        <v>0</v>
      </c>
      <c r="I291" s="521">
        <v>0</v>
      </c>
      <c r="J291" s="523" t="str">
        <f>RevenueStreams!$E$18</f>
        <v>Per Mo</v>
      </c>
      <c r="K291" s="461">
        <f>I291*RevenueStreams!$D$18</f>
        <v>0</v>
      </c>
      <c r="L291" s="521">
        <v>0</v>
      </c>
      <c r="M291" s="523" t="str">
        <f>RevenueStreams!$E$18</f>
        <v>Per Mo</v>
      </c>
      <c r="N291" s="461">
        <f>L291*RevenueStreams!$D$18</f>
        <v>0</v>
      </c>
      <c r="O291" s="521">
        <v>0</v>
      </c>
      <c r="P291" s="523" t="str">
        <f>RevenueStreams!$E$18</f>
        <v>Per Mo</v>
      </c>
      <c r="Q291" s="461">
        <f>O291*RevenueStreams!$D$18</f>
        <v>0</v>
      </c>
      <c r="R291" s="521">
        <v>0</v>
      </c>
      <c r="S291" s="523" t="str">
        <f>RevenueStreams!$E$18</f>
        <v>Per Mo</v>
      </c>
      <c r="T291" s="461">
        <f>R291*RevenueStreams!$D$18</f>
        <v>0</v>
      </c>
      <c r="U291" s="521">
        <v>0</v>
      </c>
      <c r="V291" s="523" t="str">
        <f>RevenueStreams!$E$18</f>
        <v>Per Mo</v>
      </c>
      <c r="W291" s="461">
        <f>U291*RevenueStreams!$D$18</f>
        <v>0</v>
      </c>
      <c r="X291" s="521">
        <v>1</v>
      </c>
      <c r="Y291" s="523" t="str">
        <f>RevenueStreams!$E$18</f>
        <v>Per Mo</v>
      </c>
      <c r="Z291" s="461">
        <f>X291*RevenueStreams!$D$18</f>
        <v>288</v>
      </c>
      <c r="AA291" s="521">
        <v>0</v>
      </c>
      <c r="AB291" s="523" t="str">
        <f>RevenueStreams!$E$18</f>
        <v>Per Mo</v>
      </c>
      <c r="AC291" s="461">
        <f>AA291*RevenueStreams!$D$18</f>
        <v>0</v>
      </c>
      <c r="AD291" s="521">
        <v>0</v>
      </c>
      <c r="AE291" s="523" t="str">
        <f>RevenueStreams!$E$18</f>
        <v>Per Mo</v>
      </c>
      <c r="AF291" s="461">
        <f>AD291*RevenueStreams!$D$18</f>
        <v>0</v>
      </c>
      <c r="AG291" s="521">
        <v>0</v>
      </c>
      <c r="AH291" s="523" t="str">
        <f>RevenueStreams!$E$18</f>
        <v>Per Mo</v>
      </c>
      <c r="AI291" s="461">
        <f>AG291*RevenueStreams!$D$18</f>
        <v>0</v>
      </c>
      <c r="AJ291" s="521">
        <v>0</v>
      </c>
      <c r="AK291" s="523" t="str">
        <f>RevenueStreams!$E$18</f>
        <v>Per Mo</v>
      </c>
      <c r="AL291" s="461">
        <f>AJ291*RevenueStreams!$D$18</f>
        <v>0</v>
      </c>
    </row>
    <row r="292" spans="1:38" x14ac:dyDescent="0.35">
      <c r="A292" s="471">
        <f t="shared" si="17"/>
        <v>6912</v>
      </c>
      <c r="B292" s="513" t="s">
        <v>489</v>
      </c>
      <c r="C292" s="521">
        <v>1</v>
      </c>
      <c r="D292" s="523" t="str">
        <f>RevenueStreams!$E$19</f>
        <v>Per Mo</v>
      </c>
      <c r="E292" s="461">
        <f>C292*RevenueStreams!$D$19</f>
        <v>576</v>
      </c>
      <c r="F292" s="521">
        <v>1</v>
      </c>
      <c r="G292" s="523" t="str">
        <f>RevenueStreams!$E$19</f>
        <v>Per Mo</v>
      </c>
      <c r="H292" s="461">
        <f>F292*RevenueStreams!$D$19</f>
        <v>576</v>
      </c>
      <c r="I292" s="521">
        <v>1</v>
      </c>
      <c r="J292" s="523" t="str">
        <f>RevenueStreams!$E$19</f>
        <v>Per Mo</v>
      </c>
      <c r="K292" s="461">
        <f>I292*RevenueStreams!$D$19</f>
        <v>576</v>
      </c>
      <c r="L292" s="521">
        <v>1</v>
      </c>
      <c r="M292" s="523" t="str">
        <f>RevenueStreams!$E$19</f>
        <v>Per Mo</v>
      </c>
      <c r="N292" s="461">
        <f>L292*RevenueStreams!$D$19</f>
        <v>576</v>
      </c>
      <c r="O292" s="521">
        <v>1</v>
      </c>
      <c r="P292" s="523" t="str">
        <f>RevenueStreams!$E$19</f>
        <v>Per Mo</v>
      </c>
      <c r="Q292" s="461">
        <f>O292*RevenueStreams!$D$19</f>
        <v>576</v>
      </c>
      <c r="R292" s="521">
        <v>1</v>
      </c>
      <c r="S292" s="523" t="str">
        <f>RevenueStreams!$E$19</f>
        <v>Per Mo</v>
      </c>
      <c r="T292" s="461">
        <f>R292*RevenueStreams!$D$19</f>
        <v>576</v>
      </c>
      <c r="U292" s="521">
        <v>1</v>
      </c>
      <c r="V292" s="523" t="str">
        <f>RevenueStreams!$E$19</f>
        <v>Per Mo</v>
      </c>
      <c r="W292" s="461">
        <f>U292*RevenueStreams!$D$19</f>
        <v>576</v>
      </c>
      <c r="X292" s="521">
        <v>1</v>
      </c>
      <c r="Y292" s="523" t="str">
        <f>RevenueStreams!$E$19</f>
        <v>Per Mo</v>
      </c>
      <c r="Z292" s="461">
        <f>X292*RevenueStreams!$D$19</f>
        <v>576</v>
      </c>
      <c r="AA292" s="521">
        <v>1</v>
      </c>
      <c r="AB292" s="523" t="str">
        <f>RevenueStreams!$E$19</f>
        <v>Per Mo</v>
      </c>
      <c r="AC292" s="461">
        <f>AA292*RevenueStreams!$D$19</f>
        <v>576</v>
      </c>
      <c r="AD292" s="521">
        <v>1</v>
      </c>
      <c r="AE292" s="523" t="str">
        <f>RevenueStreams!$E$19</f>
        <v>Per Mo</v>
      </c>
      <c r="AF292" s="461">
        <f>AD292*RevenueStreams!$D$19</f>
        <v>576</v>
      </c>
      <c r="AG292" s="521">
        <v>1</v>
      </c>
      <c r="AH292" s="523" t="str">
        <f>RevenueStreams!$E$19</f>
        <v>Per Mo</v>
      </c>
      <c r="AI292" s="461">
        <f>AG292*RevenueStreams!$D$19</f>
        <v>576</v>
      </c>
      <c r="AJ292" s="521">
        <v>1</v>
      </c>
      <c r="AK292" s="523" t="str">
        <f>RevenueStreams!$E$19</f>
        <v>Per Mo</v>
      </c>
      <c r="AL292" s="461">
        <f>AJ292*RevenueStreams!$D$19</f>
        <v>576</v>
      </c>
    </row>
    <row r="293" spans="1:38" x14ac:dyDescent="0.35">
      <c r="A293" s="471">
        <f t="shared" si="17"/>
        <v>0</v>
      </c>
      <c r="B293" s="513" t="s">
        <v>496</v>
      </c>
      <c r="C293" s="521">
        <v>0</v>
      </c>
      <c r="D293" s="523" t="str">
        <f>RevenueStreams!$E$20</f>
        <v>Per  Hr</v>
      </c>
      <c r="E293" s="461">
        <f>C293*RevenueStreams!$D$20</f>
        <v>0</v>
      </c>
      <c r="F293" s="521">
        <v>0</v>
      </c>
      <c r="G293" s="523" t="str">
        <f>RevenueStreams!$E$20</f>
        <v>Per  Hr</v>
      </c>
      <c r="H293" s="461">
        <f>F293*RevenueStreams!$D$20</f>
        <v>0</v>
      </c>
      <c r="I293" s="521">
        <v>0</v>
      </c>
      <c r="J293" s="523" t="str">
        <f>RevenueStreams!$E$20</f>
        <v>Per  Hr</v>
      </c>
      <c r="K293" s="461">
        <f>I293*RevenueStreams!$D$20</f>
        <v>0</v>
      </c>
      <c r="L293" s="521">
        <v>0</v>
      </c>
      <c r="M293" s="523" t="str">
        <f>RevenueStreams!$E$20</f>
        <v>Per  Hr</v>
      </c>
      <c r="N293" s="461">
        <f>L293*RevenueStreams!$D$20</f>
        <v>0</v>
      </c>
      <c r="O293" s="521">
        <v>0</v>
      </c>
      <c r="P293" s="523" t="str">
        <f>RevenueStreams!$E$20</f>
        <v>Per  Hr</v>
      </c>
      <c r="Q293" s="461">
        <f>O293*RevenueStreams!$D$20</f>
        <v>0</v>
      </c>
      <c r="R293" s="521">
        <v>0</v>
      </c>
      <c r="S293" s="523" t="str">
        <f>RevenueStreams!$E$20</f>
        <v>Per  Hr</v>
      </c>
      <c r="T293" s="461">
        <f>R293*RevenueStreams!$D$20</f>
        <v>0</v>
      </c>
      <c r="U293" s="521">
        <v>0</v>
      </c>
      <c r="V293" s="523" t="str">
        <f>RevenueStreams!$E$20</f>
        <v>Per  Hr</v>
      </c>
      <c r="W293" s="461">
        <f>U293*RevenueStreams!$D$20</f>
        <v>0</v>
      </c>
      <c r="X293" s="521">
        <v>0</v>
      </c>
      <c r="Y293" s="523" t="str">
        <f>RevenueStreams!$E$20</f>
        <v>Per  Hr</v>
      </c>
      <c r="Z293" s="461">
        <f>X293*RevenueStreams!$D$20</f>
        <v>0</v>
      </c>
      <c r="AA293" s="521">
        <v>0</v>
      </c>
      <c r="AB293" s="523" t="str">
        <f>RevenueStreams!$E$20</f>
        <v>Per  Hr</v>
      </c>
      <c r="AC293" s="461">
        <f>AA293*RevenueStreams!$D$20</f>
        <v>0</v>
      </c>
      <c r="AD293" s="521">
        <v>0</v>
      </c>
      <c r="AE293" s="523" t="str">
        <f>RevenueStreams!$E$20</f>
        <v>Per  Hr</v>
      </c>
      <c r="AF293" s="461">
        <f>AD293*RevenueStreams!$D$20</f>
        <v>0</v>
      </c>
      <c r="AG293" s="521">
        <v>0</v>
      </c>
      <c r="AH293" s="523" t="str">
        <f>RevenueStreams!$E$20</f>
        <v>Per  Hr</v>
      </c>
      <c r="AI293" s="461">
        <f>AG293*RevenueStreams!$D$20</f>
        <v>0</v>
      </c>
      <c r="AJ293" s="521">
        <v>0</v>
      </c>
      <c r="AK293" s="523" t="str">
        <f>RevenueStreams!$E$20</f>
        <v>Per  Hr</v>
      </c>
      <c r="AL293" s="461">
        <f>AJ293*RevenueStreams!$D$20</f>
        <v>0</v>
      </c>
    </row>
    <row r="294" spans="1:38" x14ac:dyDescent="0.35">
      <c r="A294" s="471">
        <f t="shared" si="17"/>
        <v>0</v>
      </c>
      <c r="B294" s="513" t="s">
        <v>497</v>
      </c>
      <c r="C294" s="521">
        <v>0</v>
      </c>
      <c r="D294" s="523" t="str">
        <f>RevenueStreams!$E$21</f>
        <v>Per  Hr</v>
      </c>
      <c r="E294" s="461">
        <f>C294*RevenueStreams!$D$21</f>
        <v>0</v>
      </c>
      <c r="F294" s="521">
        <v>0</v>
      </c>
      <c r="G294" s="523" t="str">
        <f>RevenueStreams!$E$21</f>
        <v>Per  Hr</v>
      </c>
      <c r="H294" s="461">
        <f>F294*RevenueStreams!$D$21</f>
        <v>0</v>
      </c>
      <c r="I294" s="521">
        <v>0</v>
      </c>
      <c r="J294" s="523" t="str">
        <f>RevenueStreams!$E$21</f>
        <v>Per  Hr</v>
      </c>
      <c r="K294" s="461">
        <f>I294*RevenueStreams!$D$21</f>
        <v>0</v>
      </c>
      <c r="L294" s="521">
        <v>0</v>
      </c>
      <c r="M294" s="523" t="str">
        <f>RevenueStreams!$E$21</f>
        <v>Per  Hr</v>
      </c>
      <c r="N294" s="461">
        <f>L294*RevenueStreams!$D$21</f>
        <v>0</v>
      </c>
      <c r="O294" s="521">
        <v>0</v>
      </c>
      <c r="P294" s="523" t="str">
        <f>RevenueStreams!$E$21</f>
        <v>Per  Hr</v>
      </c>
      <c r="Q294" s="461">
        <f>O294*RevenueStreams!$D$21</f>
        <v>0</v>
      </c>
      <c r="R294" s="521">
        <v>0</v>
      </c>
      <c r="S294" s="523" t="str">
        <f>RevenueStreams!$E$21</f>
        <v>Per  Hr</v>
      </c>
      <c r="T294" s="461">
        <f>R294*RevenueStreams!$D$21</f>
        <v>0</v>
      </c>
      <c r="U294" s="521">
        <v>0</v>
      </c>
      <c r="V294" s="523" t="str">
        <f>RevenueStreams!$E$21</f>
        <v>Per  Hr</v>
      </c>
      <c r="W294" s="461">
        <f>U294*RevenueStreams!$D$21</f>
        <v>0</v>
      </c>
      <c r="X294" s="521">
        <v>0</v>
      </c>
      <c r="Y294" s="523" t="str">
        <f>RevenueStreams!$E$21</f>
        <v>Per  Hr</v>
      </c>
      <c r="Z294" s="461">
        <f>X294*RevenueStreams!$D$21</f>
        <v>0</v>
      </c>
      <c r="AA294" s="521">
        <v>0</v>
      </c>
      <c r="AB294" s="523" t="str">
        <f>RevenueStreams!$E$21</f>
        <v>Per  Hr</v>
      </c>
      <c r="AC294" s="461">
        <f>AA294*RevenueStreams!$D$21</f>
        <v>0</v>
      </c>
      <c r="AD294" s="521">
        <v>0</v>
      </c>
      <c r="AE294" s="523" t="str">
        <f>RevenueStreams!$E$21</f>
        <v>Per  Hr</v>
      </c>
      <c r="AF294" s="461">
        <f>AD294*RevenueStreams!$D$21</f>
        <v>0</v>
      </c>
      <c r="AG294" s="521">
        <v>0</v>
      </c>
      <c r="AH294" s="523" t="str">
        <f>RevenueStreams!$E$21</f>
        <v>Per  Hr</v>
      </c>
      <c r="AI294" s="461">
        <f>AG294*RevenueStreams!$D$21</f>
        <v>0</v>
      </c>
      <c r="AJ294" s="521">
        <v>0</v>
      </c>
      <c r="AK294" s="523" t="str">
        <f>RevenueStreams!$E$21</f>
        <v>Per  Hr</v>
      </c>
      <c r="AL294" s="461">
        <f>AJ294*RevenueStreams!$D$21</f>
        <v>0</v>
      </c>
    </row>
    <row r="295" spans="1:38" x14ac:dyDescent="0.35">
      <c r="A295" s="471">
        <f t="shared" si="17"/>
        <v>0</v>
      </c>
      <c r="B295" s="513" t="s">
        <v>498</v>
      </c>
      <c r="C295" s="521">
        <v>0</v>
      </c>
      <c r="D295" s="523" t="str">
        <f>RevenueStreams!$E$22</f>
        <v>Per  Hr</v>
      </c>
      <c r="E295" s="461">
        <f>C295*RevenueStreams!$D$22</f>
        <v>0</v>
      </c>
      <c r="F295" s="521">
        <v>0</v>
      </c>
      <c r="G295" s="523" t="str">
        <f>RevenueStreams!$E$22</f>
        <v>Per  Hr</v>
      </c>
      <c r="H295" s="461">
        <f>F295*RevenueStreams!$D$22</f>
        <v>0</v>
      </c>
      <c r="I295" s="521">
        <v>0</v>
      </c>
      <c r="J295" s="523" t="str">
        <f>RevenueStreams!$E$22</f>
        <v>Per  Hr</v>
      </c>
      <c r="K295" s="461">
        <f>I295*RevenueStreams!$D$22</f>
        <v>0</v>
      </c>
      <c r="L295" s="521">
        <v>0</v>
      </c>
      <c r="M295" s="523" t="str">
        <f>RevenueStreams!$E$22</f>
        <v>Per  Hr</v>
      </c>
      <c r="N295" s="461">
        <f>L295*RevenueStreams!$D$22</f>
        <v>0</v>
      </c>
      <c r="O295" s="521">
        <v>0</v>
      </c>
      <c r="P295" s="523" t="str">
        <f>RevenueStreams!$E$22</f>
        <v>Per  Hr</v>
      </c>
      <c r="Q295" s="461">
        <f>O295*RevenueStreams!$D$22</f>
        <v>0</v>
      </c>
      <c r="R295" s="521">
        <v>0</v>
      </c>
      <c r="S295" s="523" t="str">
        <f>RevenueStreams!$E$22</f>
        <v>Per  Hr</v>
      </c>
      <c r="T295" s="461">
        <f>R295*RevenueStreams!$D$22</f>
        <v>0</v>
      </c>
      <c r="U295" s="521">
        <v>0</v>
      </c>
      <c r="V295" s="523" t="str">
        <f>RevenueStreams!$E$22</f>
        <v>Per  Hr</v>
      </c>
      <c r="W295" s="461">
        <f>U295*RevenueStreams!$D$22</f>
        <v>0</v>
      </c>
      <c r="X295" s="521">
        <v>0</v>
      </c>
      <c r="Y295" s="523" t="str">
        <f>RevenueStreams!$E$22</f>
        <v>Per  Hr</v>
      </c>
      <c r="Z295" s="461">
        <f>X295*RevenueStreams!$D$22</f>
        <v>0</v>
      </c>
      <c r="AA295" s="521">
        <v>0</v>
      </c>
      <c r="AB295" s="523" t="str">
        <f>RevenueStreams!$E$22</f>
        <v>Per  Hr</v>
      </c>
      <c r="AC295" s="461">
        <f>AA295*RevenueStreams!$D$22</f>
        <v>0</v>
      </c>
      <c r="AD295" s="521">
        <v>0</v>
      </c>
      <c r="AE295" s="523" t="str">
        <f>RevenueStreams!$E$22</f>
        <v>Per  Hr</v>
      </c>
      <c r="AF295" s="461">
        <f>AD295*RevenueStreams!$D$22</f>
        <v>0</v>
      </c>
      <c r="AG295" s="521">
        <v>0</v>
      </c>
      <c r="AH295" s="523" t="str">
        <f>RevenueStreams!$E$22</f>
        <v>Per  Hr</v>
      </c>
      <c r="AI295" s="461">
        <f>AG295*RevenueStreams!$D$22</f>
        <v>0</v>
      </c>
      <c r="AJ295" s="521">
        <v>0</v>
      </c>
      <c r="AK295" s="523" t="str">
        <f>RevenueStreams!$E$22</f>
        <v>Per  Hr</v>
      </c>
      <c r="AL295" s="461">
        <f>AJ295*RevenueStreams!$D$22</f>
        <v>0</v>
      </c>
    </row>
    <row r="296" spans="1:38" x14ac:dyDescent="0.35">
      <c r="A296" s="471">
        <f t="shared" si="17"/>
        <v>300</v>
      </c>
      <c r="B296" s="513" t="s">
        <v>272</v>
      </c>
      <c r="C296" s="521">
        <v>1</v>
      </c>
      <c r="D296" s="523" t="str">
        <f>RevenueStreams!$E$23</f>
        <v>Per  Pallet</v>
      </c>
      <c r="E296" s="461">
        <f>C296*RevenueStreams!$D$23</f>
        <v>25</v>
      </c>
      <c r="F296" s="521">
        <v>1</v>
      </c>
      <c r="G296" s="523" t="str">
        <f>RevenueStreams!$E$23</f>
        <v>Per  Pallet</v>
      </c>
      <c r="H296" s="461">
        <f>F296*RevenueStreams!$D$23</f>
        <v>25</v>
      </c>
      <c r="I296" s="521">
        <v>1</v>
      </c>
      <c r="J296" s="523" t="str">
        <f>RevenueStreams!$E$23</f>
        <v>Per  Pallet</v>
      </c>
      <c r="K296" s="461">
        <f>I296*RevenueStreams!$D$23</f>
        <v>25</v>
      </c>
      <c r="L296" s="521">
        <v>1</v>
      </c>
      <c r="M296" s="523" t="str">
        <f>RevenueStreams!$E$23</f>
        <v>Per  Pallet</v>
      </c>
      <c r="N296" s="461">
        <f>L296*RevenueStreams!$D$23</f>
        <v>25</v>
      </c>
      <c r="O296" s="521">
        <v>1</v>
      </c>
      <c r="P296" s="523" t="str">
        <f>RevenueStreams!$E$23</f>
        <v>Per  Pallet</v>
      </c>
      <c r="Q296" s="461">
        <f>O296*RevenueStreams!$D$23</f>
        <v>25</v>
      </c>
      <c r="R296" s="521">
        <v>1</v>
      </c>
      <c r="S296" s="523" t="str">
        <f>RevenueStreams!$E$23</f>
        <v>Per  Pallet</v>
      </c>
      <c r="T296" s="461">
        <f>R296*RevenueStreams!$D$23</f>
        <v>25</v>
      </c>
      <c r="U296" s="521">
        <v>1</v>
      </c>
      <c r="V296" s="523" t="str">
        <f>RevenueStreams!$E$23</f>
        <v>Per  Pallet</v>
      </c>
      <c r="W296" s="461">
        <f>U296*RevenueStreams!$D$23</f>
        <v>25</v>
      </c>
      <c r="X296" s="521">
        <v>1</v>
      </c>
      <c r="Y296" s="523" t="str">
        <f>RevenueStreams!$E$23</f>
        <v>Per  Pallet</v>
      </c>
      <c r="Z296" s="461">
        <f>X296*RevenueStreams!$D$23</f>
        <v>25</v>
      </c>
      <c r="AA296" s="521">
        <v>1</v>
      </c>
      <c r="AB296" s="523" t="str">
        <f>RevenueStreams!$E$23</f>
        <v>Per  Pallet</v>
      </c>
      <c r="AC296" s="461">
        <f>AA296*RevenueStreams!$D$23</f>
        <v>25</v>
      </c>
      <c r="AD296" s="521">
        <v>1</v>
      </c>
      <c r="AE296" s="523" t="str">
        <f>RevenueStreams!$E$23</f>
        <v>Per  Pallet</v>
      </c>
      <c r="AF296" s="461">
        <f>AD296*RevenueStreams!$D$23</f>
        <v>25</v>
      </c>
      <c r="AG296" s="521">
        <v>1</v>
      </c>
      <c r="AH296" s="523" t="str">
        <f>RevenueStreams!$E$23</f>
        <v>Per  Pallet</v>
      </c>
      <c r="AI296" s="461">
        <f>AG296*RevenueStreams!$D$23</f>
        <v>25</v>
      </c>
      <c r="AJ296" s="521">
        <v>1</v>
      </c>
      <c r="AK296" s="523" t="str">
        <f>RevenueStreams!$E$23</f>
        <v>Per  Pallet</v>
      </c>
      <c r="AL296" s="461">
        <f>AJ296*RevenueStreams!$D$23</f>
        <v>25</v>
      </c>
    </row>
    <row r="297" spans="1:38" x14ac:dyDescent="0.35">
      <c r="A297" s="471">
        <f t="shared" si="17"/>
        <v>0</v>
      </c>
      <c r="B297" s="513" t="s">
        <v>490</v>
      </c>
      <c r="C297" s="521">
        <v>0</v>
      </c>
      <c r="D297" s="523" t="str">
        <f>RevenueStreams!$E$24</f>
        <v>Per  Pallet</v>
      </c>
      <c r="E297" s="461">
        <f>C297*RevenueStreams!$D$24</f>
        <v>0</v>
      </c>
      <c r="F297" s="521">
        <v>0</v>
      </c>
      <c r="G297" s="523" t="str">
        <f>RevenueStreams!$E$24</f>
        <v>Per  Pallet</v>
      </c>
      <c r="H297" s="461">
        <f>F297*RevenueStreams!$D$24</f>
        <v>0</v>
      </c>
      <c r="I297" s="521">
        <v>0</v>
      </c>
      <c r="J297" s="523" t="str">
        <f>RevenueStreams!$E$24</f>
        <v>Per  Pallet</v>
      </c>
      <c r="K297" s="461">
        <f>I297*RevenueStreams!$D$24</f>
        <v>0</v>
      </c>
      <c r="L297" s="521">
        <v>0</v>
      </c>
      <c r="M297" s="523" t="str">
        <f>RevenueStreams!$E$24</f>
        <v>Per  Pallet</v>
      </c>
      <c r="N297" s="461">
        <f>L297*RevenueStreams!$D$24</f>
        <v>0</v>
      </c>
      <c r="O297" s="521">
        <v>0</v>
      </c>
      <c r="P297" s="523" t="str">
        <f>RevenueStreams!$E$24</f>
        <v>Per  Pallet</v>
      </c>
      <c r="Q297" s="461">
        <f>O297*RevenueStreams!$D$24</f>
        <v>0</v>
      </c>
      <c r="R297" s="521">
        <v>0</v>
      </c>
      <c r="S297" s="523" t="str">
        <f>RevenueStreams!$E$24</f>
        <v>Per  Pallet</v>
      </c>
      <c r="T297" s="461">
        <f>R297*RevenueStreams!$D$24</f>
        <v>0</v>
      </c>
      <c r="U297" s="521">
        <v>0</v>
      </c>
      <c r="V297" s="523" t="str">
        <f>RevenueStreams!$E$24</f>
        <v>Per  Pallet</v>
      </c>
      <c r="W297" s="461">
        <f>U297*RevenueStreams!$D$24</f>
        <v>0</v>
      </c>
      <c r="X297" s="521">
        <v>0</v>
      </c>
      <c r="Y297" s="523" t="str">
        <f>RevenueStreams!$E$24</f>
        <v>Per  Pallet</v>
      </c>
      <c r="Z297" s="461">
        <f>X297*RevenueStreams!$D$24</f>
        <v>0</v>
      </c>
      <c r="AA297" s="521">
        <v>0</v>
      </c>
      <c r="AB297" s="523" t="str">
        <f>RevenueStreams!$E$24</f>
        <v>Per  Pallet</v>
      </c>
      <c r="AC297" s="461">
        <f>AA297*RevenueStreams!$D$24</f>
        <v>0</v>
      </c>
      <c r="AD297" s="521">
        <v>0</v>
      </c>
      <c r="AE297" s="523" t="str">
        <f>RevenueStreams!$E$24</f>
        <v>Per  Pallet</v>
      </c>
      <c r="AF297" s="461">
        <f>AD297*RevenueStreams!$D$24</f>
        <v>0</v>
      </c>
      <c r="AG297" s="521">
        <v>0</v>
      </c>
      <c r="AH297" s="523" t="str">
        <f>RevenueStreams!$E$24</f>
        <v>Per  Pallet</v>
      </c>
      <c r="AI297" s="461">
        <f>AG297*RevenueStreams!$D$24</f>
        <v>0</v>
      </c>
      <c r="AJ297" s="521">
        <v>0</v>
      </c>
      <c r="AK297" s="523" t="str">
        <f>RevenueStreams!$E$24</f>
        <v>Per  Pallet</v>
      </c>
      <c r="AL297" s="461">
        <f>AJ297*RevenueStreams!$D$24</f>
        <v>0</v>
      </c>
    </row>
    <row r="298" spans="1:38" x14ac:dyDescent="0.35">
      <c r="A298" s="471">
        <f t="shared" si="17"/>
        <v>2385</v>
      </c>
      <c r="B298" s="513" t="s">
        <v>491</v>
      </c>
      <c r="C298" s="521">
        <v>1</v>
      </c>
      <c r="D298" s="523" t="str">
        <f>RevenueStreams!$E$25</f>
        <v>Per  Pallet</v>
      </c>
      <c r="E298" s="461">
        <f>C298*RevenueStreams!$D$25</f>
        <v>45</v>
      </c>
      <c r="F298" s="521">
        <v>5</v>
      </c>
      <c r="G298" s="523" t="str">
        <f>RevenueStreams!$E$25</f>
        <v>Per  Pallet</v>
      </c>
      <c r="H298" s="461">
        <f>F298*RevenueStreams!$D$25</f>
        <v>225</v>
      </c>
      <c r="I298" s="521">
        <v>5</v>
      </c>
      <c r="J298" s="523" t="str">
        <f>RevenueStreams!$E$25</f>
        <v>Per  Pallet</v>
      </c>
      <c r="K298" s="461">
        <f>I298*RevenueStreams!$D$25</f>
        <v>225</v>
      </c>
      <c r="L298" s="521">
        <v>5</v>
      </c>
      <c r="M298" s="523" t="str">
        <f>RevenueStreams!$E$25</f>
        <v>Per  Pallet</v>
      </c>
      <c r="N298" s="461">
        <f>L298*RevenueStreams!$D$25</f>
        <v>225</v>
      </c>
      <c r="O298" s="521">
        <v>5</v>
      </c>
      <c r="P298" s="523" t="str">
        <f>RevenueStreams!$E$25</f>
        <v>Per  Pallet</v>
      </c>
      <c r="Q298" s="461">
        <f>O298*RevenueStreams!$D$25</f>
        <v>225</v>
      </c>
      <c r="R298" s="521">
        <v>2</v>
      </c>
      <c r="S298" s="523" t="str">
        <f>RevenueStreams!$E$25</f>
        <v>Per  Pallet</v>
      </c>
      <c r="T298" s="461">
        <f>R298*RevenueStreams!$D$25</f>
        <v>90</v>
      </c>
      <c r="U298" s="521">
        <v>5</v>
      </c>
      <c r="V298" s="523" t="str">
        <f>RevenueStreams!$E$25</f>
        <v>Per  Pallet</v>
      </c>
      <c r="W298" s="461">
        <f>U298*RevenueStreams!$D$25</f>
        <v>225</v>
      </c>
      <c r="X298" s="521">
        <v>5</v>
      </c>
      <c r="Y298" s="523" t="str">
        <f>RevenueStreams!$E$25</f>
        <v>Per  Pallet</v>
      </c>
      <c r="Z298" s="461">
        <f>X298*RevenueStreams!$D$25</f>
        <v>225</v>
      </c>
      <c r="AA298" s="521">
        <v>5</v>
      </c>
      <c r="AB298" s="523" t="str">
        <f>RevenueStreams!$E$25</f>
        <v>Per  Pallet</v>
      </c>
      <c r="AC298" s="461">
        <f>AA298*RevenueStreams!$D$25</f>
        <v>225</v>
      </c>
      <c r="AD298" s="521">
        <v>5</v>
      </c>
      <c r="AE298" s="523" t="str">
        <f>RevenueStreams!$E$25</f>
        <v>Per  Pallet</v>
      </c>
      <c r="AF298" s="461">
        <f>AD298*RevenueStreams!$D$25</f>
        <v>225</v>
      </c>
      <c r="AG298" s="521">
        <v>5</v>
      </c>
      <c r="AH298" s="523" t="str">
        <f>RevenueStreams!$E$25</f>
        <v>Per  Pallet</v>
      </c>
      <c r="AI298" s="461">
        <f>AG298*RevenueStreams!$D$25</f>
        <v>225</v>
      </c>
      <c r="AJ298" s="521">
        <v>5</v>
      </c>
      <c r="AK298" s="523" t="str">
        <f>RevenueStreams!$E$25</f>
        <v>Per  Pallet</v>
      </c>
      <c r="AL298" s="461">
        <f>AJ298*RevenueStreams!$D$25</f>
        <v>225</v>
      </c>
    </row>
    <row r="299" spans="1:38" x14ac:dyDescent="0.35">
      <c r="A299" s="471">
        <f t="shared" si="17"/>
        <v>6240</v>
      </c>
      <c r="B299" s="513" t="s">
        <v>519</v>
      </c>
      <c r="C299" s="521">
        <f>3*8*2</f>
        <v>48</v>
      </c>
      <c r="D299" s="523" t="str">
        <f>RevenueStreams!$E$26</f>
        <v>Per Hr</v>
      </c>
      <c r="E299" s="461">
        <f>C299*RevenueStreams!$D$26</f>
        <v>480</v>
      </c>
      <c r="F299" s="521">
        <f>3*8*2</f>
        <v>48</v>
      </c>
      <c r="G299" s="523" t="str">
        <f>RevenueStreams!$E$26</f>
        <v>Per Hr</v>
      </c>
      <c r="H299" s="461">
        <f>F299*RevenueStreams!$D$26</f>
        <v>480</v>
      </c>
      <c r="I299" s="521">
        <f>3*8*2</f>
        <v>48</v>
      </c>
      <c r="J299" s="523" t="str">
        <f>RevenueStreams!$E$26</f>
        <v>Per Hr</v>
      </c>
      <c r="K299" s="461">
        <f>I299*RevenueStreams!$D$26</f>
        <v>480</v>
      </c>
      <c r="L299" s="521">
        <f>3*8*4</f>
        <v>96</v>
      </c>
      <c r="M299" s="523" t="str">
        <f>RevenueStreams!$E$26</f>
        <v>Per Hr</v>
      </c>
      <c r="N299" s="461">
        <f>L299*RevenueStreams!$D$26</f>
        <v>960</v>
      </c>
      <c r="O299" s="521">
        <f>3*8*4</f>
        <v>96</v>
      </c>
      <c r="P299" s="523" t="str">
        <f>RevenueStreams!$E$26</f>
        <v>Per Hr</v>
      </c>
      <c r="Q299" s="461">
        <f>O299*RevenueStreams!$D$26</f>
        <v>960</v>
      </c>
      <c r="R299" s="521">
        <f>3*8*4</f>
        <v>96</v>
      </c>
      <c r="S299" s="523" t="str">
        <f>RevenueStreams!$E$26</f>
        <v>Per Hr</v>
      </c>
      <c r="T299" s="461">
        <f>R299*RevenueStreams!$D$26</f>
        <v>960</v>
      </c>
      <c r="U299" s="521">
        <f>3*8*3</f>
        <v>72</v>
      </c>
      <c r="V299" s="523" t="str">
        <f>RevenueStreams!$E$26</f>
        <v>Per Hr</v>
      </c>
      <c r="W299" s="461">
        <f>U299*RevenueStreams!$D$26</f>
        <v>720</v>
      </c>
      <c r="X299" s="521">
        <v>24</v>
      </c>
      <c r="Y299" s="523" t="str">
        <f>RevenueStreams!$E$26</f>
        <v>Per Hr</v>
      </c>
      <c r="Z299" s="461">
        <f>X299*RevenueStreams!$D$26</f>
        <v>240</v>
      </c>
      <c r="AA299" s="521">
        <v>24</v>
      </c>
      <c r="AB299" s="523" t="str">
        <f>RevenueStreams!$E$26</f>
        <v>Per Hr</v>
      </c>
      <c r="AC299" s="461">
        <f>AA299*RevenueStreams!$D$26</f>
        <v>240</v>
      </c>
      <c r="AD299" s="521">
        <v>24</v>
      </c>
      <c r="AE299" s="523" t="str">
        <f>RevenueStreams!$E$26</f>
        <v>Per Hr</v>
      </c>
      <c r="AF299" s="461">
        <f>AD299*RevenueStreams!$D$26</f>
        <v>240</v>
      </c>
      <c r="AG299" s="521">
        <v>24</v>
      </c>
      <c r="AH299" s="523" t="str">
        <f>RevenueStreams!$E$26</f>
        <v>Per Hr</v>
      </c>
      <c r="AI299" s="461">
        <f>AG299*RevenueStreams!$D$26</f>
        <v>240</v>
      </c>
      <c r="AJ299" s="521">
        <v>24</v>
      </c>
      <c r="AK299" s="523" t="str">
        <f>RevenueStreams!$E$26</f>
        <v>Per Hr</v>
      </c>
      <c r="AL299" s="461">
        <f>AJ299*RevenueStreams!$D$26</f>
        <v>240</v>
      </c>
    </row>
    <row r="300" spans="1:38" x14ac:dyDescent="0.35">
      <c r="A300" s="471">
        <f t="shared" si="17"/>
        <v>6000</v>
      </c>
      <c r="B300" s="513" t="s">
        <v>492</v>
      </c>
      <c r="C300" s="521">
        <f>3*8*2</f>
        <v>48</v>
      </c>
      <c r="D300" s="523" t="str">
        <f>RevenueStreams!$E$27</f>
        <v>Per Hr</v>
      </c>
      <c r="E300" s="461">
        <f>C300*RevenueStreams!$D$27</f>
        <v>480</v>
      </c>
      <c r="F300" s="521">
        <f>3*8*2</f>
        <v>48</v>
      </c>
      <c r="G300" s="523" t="str">
        <f>RevenueStreams!$E$27</f>
        <v>Per Hr</v>
      </c>
      <c r="H300" s="461">
        <f>F300*RevenueStreams!$D$27</f>
        <v>480</v>
      </c>
      <c r="I300" s="521">
        <f>3*8*2</f>
        <v>48</v>
      </c>
      <c r="J300" s="523" t="str">
        <f>RevenueStreams!$E$27</f>
        <v>Per Hr</v>
      </c>
      <c r="K300" s="461">
        <f>I300*RevenueStreams!$D$27</f>
        <v>480</v>
      </c>
      <c r="L300" s="521">
        <f>4*8*2</f>
        <v>64</v>
      </c>
      <c r="M300" s="523" t="str">
        <f>RevenueStreams!$E$27</f>
        <v>Per Hr</v>
      </c>
      <c r="N300" s="461">
        <f>L300*RevenueStreams!$D$27</f>
        <v>640</v>
      </c>
      <c r="O300" s="521">
        <f>4*8*2</f>
        <v>64</v>
      </c>
      <c r="P300" s="523" t="str">
        <f>RevenueStreams!$E$27</f>
        <v>Per Hr</v>
      </c>
      <c r="Q300" s="461">
        <f>O300*RevenueStreams!$D$27</f>
        <v>640</v>
      </c>
      <c r="R300" s="521">
        <f>4*8*2</f>
        <v>64</v>
      </c>
      <c r="S300" s="523" t="str">
        <f>RevenueStreams!$E$27</f>
        <v>Per Hr</v>
      </c>
      <c r="T300" s="461">
        <f>R300*RevenueStreams!$D$27</f>
        <v>640</v>
      </c>
      <c r="U300" s="521">
        <f>4*8*2</f>
        <v>64</v>
      </c>
      <c r="V300" s="523" t="str">
        <f>RevenueStreams!$E$27</f>
        <v>Per Hr</v>
      </c>
      <c r="W300" s="461">
        <f>U300*RevenueStreams!$D$27</f>
        <v>640</v>
      </c>
      <c r="X300" s="521">
        <f>4*8*2</f>
        <v>64</v>
      </c>
      <c r="Y300" s="523" t="str">
        <f>RevenueStreams!$E$27</f>
        <v>Per Hr</v>
      </c>
      <c r="Z300" s="461">
        <f>X300*RevenueStreams!$D$27</f>
        <v>640</v>
      </c>
      <c r="AA300" s="521">
        <f>4*8*2</f>
        <v>64</v>
      </c>
      <c r="AB300" s="523" t="str">
        <f>RevenueStreams!$E$27</f>
        <v>Per Hr</v>
      </c>
      <c r="AC300" s="461">
        <f>AA300*RevenueStreams!$D$27</f>
        <v>640</v>
      </c>
      <c r="AD300" s="521">
        <v>24</v>
      </c>
      <c r="AE300" s="523" t="str">
        <f>RevenueStreams!$E$27</f>
        <v>Per Hr</v>
      </c>
      <c r="AF300" s="461">
        <f>AD300*RevenueStreams!$D$27</f>
        <v>240</v>
      </c>
      <c r="AG300" s="521">
        <v>24</v>
      </c>
      <c r="AH300" s="523" t="str">
        <f>RevenueStreams!$E$27</f>
        <v>Per Hr</v>
      </c>
      <c r="AI300" s="461">
        <f>AG300*RevenueStreams!$D$27</f>
        <v>240</v>
      </c>
      <c r="AJ300" s="521">
        <v>24</v>
      </c>
      <c r="AK300" s="523" t="str">
        <f>RevenueStreams!$E$27</f>
        <v>Per Hr</v>
      </c>
      <c r="AL300" s="461">
        <f>AJ300*RevenueStreams!$D$27</f>
        <v>240</v>
      </c>
    </row>
    <row r="301" spans="1:38" x14ac:dyDescent="0.35">
      <c r="A301" s="471">
        <f t="shared" si="17"/>
        <v>612</v>
      </c>
      <c r="B301" s="513" t="s">
        <v>502</v>
      </c>
      <c r="C301" s="521">
        <v>0</v>
      </c>
      <c r="D301" s="523" t="str">
        <f>RevenueStreams!$E$29</f>
        <v>Per Hr</v>
      </c>
      <c r="E301" s="461">
        <f>C301*RevenueStreams!$D$29</f>
        <v>0</v>
      </c>
      <c r="F301" s="521">
        <v>0</v>
      </c>
      <c r="G301" s="523" t="str">
        <f>RevenueStreams!$E$29</f>
        <v>Per Hr</v>
      </c>
      <c r="H301" s="461">
        <f>F301*RevenueStreams!$D$29</f>
        <v>0</v>
      </c>
      <c r="I301" s="521">
        <v>0</v>
      </c>
      <c r="J301" s="523" t="str">
        <f>RevenueStreams!$E$29</f>
        <v>Per Hr</v>
      </c>
      <c r="K301" s="461">
        <f>I301*RevenueStreams!$D$29</f>
        <v>0</v>
      </c>
      <c r="L301" s="521">
        <v>0</v>
      </c>
      <c r="M301" s="523" t="str">
        <f>RevenueStreams!$E$29</f>
        <v>Per Hr</v>
      </c>
      <c r="N301" s="461">
        <f>L301*RevenueStreams!$D$29</f>
        <v>0</v>
      </c>
      <c r="O301" s="521">
        <f>8*1*1</f>
        <v>8</v>
      </c>
      <c r="P301" s="523" t="str">
        <f>RevenueStreams!$E$29</f>
        <v>Per Hr</v>
      </c>
      <c r="Q301" s="461">
        <f>O301*RevenueStreams!$D$29</f>
        <v>204</v>
      </c>
      <c r="R301" s="521">
        <f>8*1*1</f>
        <v>8</v>
      </c>
      <c r="S301" s="523" t="str">
        <f>RevenueStreams!$E$29</f>
        <v>Per Hr</v>
      </c>
      <c r="T301" s="461">
        <f>R301*RevenueStreams!$D$29</f>
        <v>204</v>
      </c>
      <c r="U301" s="521">
        <f>8*1*1</f>
        <v>8</v>
      </c>
      <c r="V301" s="523" t="str">
        <f>RevenueStreams!$E$29</f>
        <v>Per Hr</v>
      </c>
      <c r="W301" s="461">
        <f>U301*RevenueStreams!$D$29</f>
        <v>204</v>
      </c>
      <c r="X301" s="521">
        <v>0</v>
      </c>
      <c r="Y301" s="523" t="str">
        <f>RevenueStreams!$E$29</f>
        <v>Per Hr</v>
      </c>
      <c r="Z301" s="461">
        <f>X301*RevenueStreams!$D$29</f>
        <v>0</v>
      </c>
      <c r="AA301" s="521">
        <v>0</v>
      </c>
      <c r="AB301" s="523" t="str">
        <f>RevenueStreams!$E$29</f>
        <v>Per Hr</v>
      </c>
      <c r="AC301" s="461">
        <f>AA301*RevenueStreams!$D$29</f>
        <v>0</v>
      </c>
      <c r="AD301" s="521">
        <v>0</v>
      </c>
      <c r="AE301" s="523" t="str">
        <f>RevenueStreams!$E$29</f>
        <v>Per Hr</v>
      </c>
      <c r="AF301" s="461">
        <f>AD301*RevenueStreams!$D$29</f>
        <v>0</v>
      </c>
      <c r="AG301" s="521">
        <v>0</v>
      </c>
      <c r="AH301" s="523" t="str">
        <f>RevenueStreams!$E$29</f>
        <v>Per Hr</v>
      </c>
      <c r="AI301" s="461">
        <f>AG301*RevenueStreams!$D$29</f>
        <v>0</v>
      </c>
      <c r="AJ301" s="521">
        <v>0</v>
      </c>
      <c r="AK301" s="523" t="str">
        <f>RevenueStreams!$E$29</f>
        <v>Per Hr</v>
      </c>
      <c r="AL301" s="461">
        <f>AJ301*RevenueStreams!$D$29</f>
        <v>0</v>
      </c>
    </row>
    <row r="302" spans="1:38" x14ac:dyDescent="0.35">
      <c r="A302" s="471">
        <f t="shared" si="17"/>
        <v>0</v>
      </c>
      <c r="B302" s="513" t="s">
        <v>503</v>
      </c>
      <c r="C302" s="521">
        <v>0</v>
      </c>
      <c r="D302" s="523" t="str">
        <f>RevenueStreams!$E$30</f>
        <v>Per Hr</v>
      </c>
      <c r="E302" s="461">
        <f>C302*RevenueStreams!$D$30</f>
        <v>0</v>
      </c>
      <c r="F302" s="521">
        <v>0</v>
      </c>
      <c r="G302" s="523" t="str">
        <f>RevenueStreams!$E$30</f>
        <v>Per Hr</v>
      </c>
      <c r="H302" s="461">
        <f>F302*RevenueStreams!$D$30</f>
        <v>0</v>
      </c>
      <c r="I302" s="521">
        <v>0</v>
      </c>
      <c r="J302" s="523" t="str">
        <f>RevenueStreams!$E$30</f>
        <v>Per Hr</v>
      </c>
      <c r="K302" s="461">
        <f>I302*RevenueStreams!$D$30</f>
        <v>0</v>
      </c>
      <c r="L302" s="521">
        <v>0</v>
      </c>
      <c r="M302" s="523" t="str">
        <f>RevenueStreams!$E$30</f>
        <v>Per Hr</v>
      </c>
      <c r="N302" s="461">
        <f>L302*RevenueStreams!$D$30</f>
        <v>0</v>
      </c>
      <c r="O302" s="521">
        <v>0</v>
      </c>
      <c r="P302" s="523" t="str">
        <f>RevenueStreams!$E$30</f>
        <v>Per Hr</v>
      </c>
      <c r="Q302" s="461">
        <f>O302*RevenueStreams!$D$30</f>
        <v>0</v>
      </c>
      <c r="R302" s="521">
        <v>0</v>
      </c>
      <c r="S302" s="523" t="str">
        <f>RevenueStreams!$E$30</f>
        <v>Per Hr</v>
      </c>
      <c r="T302" s="461">
        <f>R302*RevenueStreams!$D$30</f>
        <v>0</v>
      </c>
      <c r="U302" s="521">
        <v>0</v>
      </c>
      <c r="V302" s="523" t="str">
        <f>RevenueStreams!$E$30</f>
        <v>Per Hr</v>
      </c>
      <c r="W302" s="461">
        <f>U302*RevenueStreams!$D$30</f>
        <v>0</v>
      </c>
      <c r="X302" s="521">
        <v>0</v>
      </c>
      <c r="Y302" s="523" t="str">
        <f>RevenueStreams!$E$30</f>
        <v>Per Hr</v>
      </c>
      <c r="Z302" s="461">
        <f>X302*RevenueStreams!$D$30</f>
        <v>0</v>
      </c>
      <c r="AA302" s="521">
        <v>0</v>
      </c>
      <c r="AB302" s="523" t="str">
        <f>RevenueStreams!$E$30</f>
        <v>Per Hr</v>
      </c>
      <c r="AC302" s="461">
        <f>AA302*RevenueStreams!$D$30</f>
        <v>0</v>
      </c>
      <c r="AD302" s="521">
        <v>0</v>
      </c>
      <c r="AE302" s="523" t="str">
        <f>RevenueStreams!$E$30</f>
        <v>Per Hr</v>
      </c>
      <c r="AF302" s="461">
        <f>AD302*RevenueStreams!$D$30</f>
        <v>0</v>
      </c>
      <c r="AG302" s="521">
        <v>0</v>
      </c>
      <c r="AH302" s="523" t="str">
        <f>RevenueStreams!$E$30</f>
        <v>Per Hr</v>
      </c>
      <c r="AI302" s="461">
        <f>AG302*RevenueStreams!$D$30</f>
        <v>0</v>
      </c>
      <c r="AJ302" s="521">
        <v>0</v>
      </c>
      <c r="AK302" s="523" t="str">
        <f>RevenueStreams!$E$30</f>
        <v>Per Hr</v>
      </c>
      <c r="AL302" s="461">
        <f>AJ302*RevenueStreams!$D$30</f>
        <v>0</v>
      </c>
    </row>
    <row r="303" spans="1:38" x14ac:dyDescent="0.35">
      <c r="A303" s="471">
        <f t="shared" si="17"/>
        <v>5044.616</v>
      </c>
      <c r="B303" s="513" t="s">
        <v>507</v>
      </c>
      <c r="C303" s="521">
        <v>0</v>
      </c>
      <c r="D303" s="523" t="str">
        <f>RevenueStreams!$E$31</f>
        <v>Per Hr</v>
      </c>
      <c r="E303" s="461">
        <f>C303*RevenueStreams!$D$31</f>
        <v>0</v>
      </c>
      <c r="F303" s="521">
        <v>0</v>
      </c>
      <c r="G303" s="523" t="str">
        <f>RevenueStreams!$E$31</f>
        <v>Per Hr</v>
      </c>
      <c r="H303" s="461">
        <f>F303*RevenueStreams!$D$31</f>
        <v>0</v>
      </c>
      <c r="I303" s="521">
        <v>0</v>
      </c>
      <c r="J303" s="523" t="str">
        <f>RevenueStreams!$E$31</f>
        <v>Per Hr</v>
      </c>
      <c r="K303" s="461">
        <f>I303*RevenueStreams!$D$31</f>
        <v>0</v>
      </c>
      <c r="L303" s="521">
        <v>0</v>
      </c>
      <c r="M303" s="523" t="str">
        <f>RevenueStreams!$E$31</f>
        <v>Per Hr</v>
      </c>
      <c r="N303" s="461">
        <f>L303*RevenueStreams!$D$31</f>
        <v>0</v>
      </c>
      <c r="O303" s="521">
        <v>0</v>
      </c>
      <c r="P303" s="523" t="str">
        <f>RevenueStreams!$E$31</f>
        <v>Per Hr</v>
      </c>
      <c r="Q303" s="461">
        <f>O303*RevenueStreams!$D$31</f>
        <v>0</v>
      </c>
      <c r="R303" s="521">
        <f>8*2*2</f>
        <v>32</v>
      </c>
      <c r="S303" s="523" t="str">
        <f>RevenueStreams!$E$31</f>
        <v>Per Hr</v>
      </c>
      <c r="T303" s="461">
        <f>R303*RevenueStreams!$D$31</f>
        <v>2522.308</v>
      </c>
      <c r="U303" s="521">
        <f>8*2*2</f>
        <v>32</v>
      </c>
      <c r="V303" s="523" t="str">
        <f>RevenueStreams!$E$31</f>
        <v>Per Hr</v>
      </c>
      <c r="W303" s="461">
        <f>U303*RevenueStreams!$D$31</f>
        <v>2522.308</v>
      </c>
      <c r="X303" s="521">
        <v>0</v>
      </c>
      <c r="Y303" s="523" t="str">
        <f>RevenueStreams!$E$31</f>
        <v>Per Hr</v>
      </c>
      <c r="Z303" s="461">
        <f>X303*RevenueStreams!$D$31</f>
        <v>0</v>
      </c>
      <c r="AA303" s="521">
        <v>0</v>
      </c>
      <c r="AB303" s="523" t="str">
        <f>RevenueStreams!$E$31</f>
        <v>Per Hr</v>
      </c>
      <c r="AC303" s="461">
        <f>AA303*RevenueStreams!$D$31</f>
        <v>0</v>
      </c>
      <c r="AD303" s="521">
        <v>0</v>
      </c>
      <c r="AE303" s="523" t="str">
        <f>RevenueStreams!$E$31</f>
        <v>Per Hr</v>
      </c>
      <c r="AF303" s="461">
        <f>AD303*RevenueStreams!$D$31</f>
        <v>0</v>
      </c>
      <c r="AG303" s="521">
        <v>0</v>
      </c>
      <c r="AH303" s="523" t="str">
        <f>RevenueStreams!$E$31</f>
        <v>Per Hr</v>
      </c>
      <c r="AI303" s="461">
        <f>AG303*RevenueStreams!$D$31</f>
        <v>0</v>
      </c>
      <c r="AJ303" s="521">
        <v>0</v>
      </c>
      <c r="AK303" s="523" t="str">
        <f>RevenueStreams!$E$31</f>
        <v>Per Hr</v>
      </c>
      <c r="AL303" s="461">
        <f>AJ303*RevenueStreams!$D$31</f>
        <v>0</v>
      </c>
    </row>
    <row r="304" spans="1:38" x14ac:dyDescent="0.35">
      <c r="A304" s="471">
        <f t="shared" si="17"/>
        <v>295.35999999999996</v>
      </c>
      <c r="B304" s="513" t="s">
        <v>506</v>
      </c>
      <c r="C304" s="521">
        <v>0</v>
      </c>
      <c r="D304" s="523" t="str">
        <f>RevenueStreams!$E$32</f>
        <v>Per Hr</v>
      </c>
      <c r="E304" s="461">
        <f>C304*RevenueStreams!$D$32</f>
        <v>0</v>
      </c>
      <c r="F304" s="521">
        <v>0</v>
      </c>
      <c r="G304" s="523" t="str">
        <f>RevenueStreams!$E$32</f>
        <v>Per Hr</v>
      </c>
      <c r="H304" s="461">
        <f>F304*RevenueStreams!$D$32</f>
        <v>0</v>
      </c>
      <c r="I304" s="521">
        <v>0</v>
      </c>
      <c r="J304" s="523" t="str">
        <f>RevenueStreams!$E$32</f>
        <v>Per Hr</v>
      </c>
      <c r="K304" s="461">
        <f>I304*RevenueStreams!$D$32</f>
        <v>0</v>
      </c>
      <c r="L304" s="521">
        <f>1*8*1</f>
        <v>8</v>
      </c>
      <c r="M304" s="523" t="str">
        <f>RevenueStreams!$E$32</f>
        <v>Per Hr</v>
      </c>
      <c r="N304" s="461">
        <f>L304*RevenueStreams!$D$32</f>
        <v>98.453333333333319</v>
      </c>
      <c r="O304" s="521">
        <f>1*8*1</f>
        <v>8</v>
      </c>
      <c r="P304" s="523" t="str">
        <f>RevenueStreams!$E$32</f>
        <v>Per Hr</v>
      </c>
      <c r="Q304" s="461">
        <f>O304*RevenueStreams!$D$32</f>
        <v>98.453333333333319</v>
      </c>
      <c r="R304" s="521">
        <f>1*8*1</f>
        <v>8</v>
      </c>
      <c r="S304" s="523" t="str">
        <f>RevenueStreams!$E$32</f>
        <v>Per Hr</v>
      </c>
      <c r="T304" s="461">
        <f>R304*RevenueStreams!$D$32</f>
        <v>98.453333333333319</v>
      </c>
      <c r="U304" s="521">
        <v>0</v>
      </c>
      <c r="V304" s="523" t="str">
        <f>RevenueStreams!$E$32</f>
        <v>Per Hr</v>
      </c>
      <c r="W304" s="461">
        <f>U304*RevenueStreams!$D$32</f>
        <v>0</v>
      </c>
      <c r="X304" s="521">
        <v>0</v>
      </c>
      <c r="Y304" s="523" t="str">
        <f>RevenueStreams!$E$32</f>
        <v>Per Hr</v>
      </c>
      <c r="Z304" s="461">
        <f>X304*RevenueStreams!$D$32</f>
        <v>0</v>
      </c>
      <c r="AA304" s="521">
        <v>0</v>
      </c>
      <c r="AB304" s="523" t="str">
        <f>RevenueStreams!$E$32</f>
        <v>Per Hr</v>
      </c>
      <c r="AC304" s="461">
        <f>AA304*RevenueStreams!$D$32</f>
        <v>0</v>
      </c>
      <c r="AD304" s="521">
        <v>0</v>
      </c>
      <c r="AE304" s="523" t="str">
        <f>RevenueStreams!$E$32</f>
        <v>Per Hr</v>
      </c>
      <c r="AF304" s="461">
        <f>AD304*RevenueStreams!$D$32</f>
        <v>0</v>
      </c>
      <c r="AG304" s="521">
        <v>0</v>
      </c>
      <c r="AH304" s="523" t="str">
        <f>RevenueStreams!$E$32</f>
        <v>Per Hr</v>
      </c>
      <c r="AI304" s="461">
        <f>AG304*RevenueStreams!$D$32</f>
        <v>0</v>
      </c>
      <c r="AJ304" s="521">
        <v>0</v>
      </c>
      <c r="AK304" s="523" t="str">
        <f>RevenueStreams!$E$32</f>
        <v>Per Hr</v>
      </c>
      <c r="AL304" s="461">
        <f>AJ304*RevenueStreams!$D$32</f>
        <v>0</v>
      </c>
    </row>
    <row r="305" spans="1:41" x14ac:dyDescent="0.35">
      <c r="A305" s="471">
        <f t="shared" si="17"/>
        <v>8924.9279999999981</v>
      </c>
      <c r="B305" s="513" t="s">
        <v>508</v>
      </c>
      <c r="C305" s="521">
        <f>8*3*2</f>
        <v>48</v>
      </c>
      <c r="D305" s="523" t="str">
        <f>RevenueStreams!$E$33</f>
        <v>Per Hr</v>
      </c>
      <c r="E305" s="461">
        <f>C305*RevenueStreams!$D$33</f>
        <v>743.74400000000003</v>
      </c>
      <c r="F305" s="521">
        <f>8*3*2</f>
        <v>48</v>
      </c>
      <c r="G305" s="523" t="str">
        <f>RevenueStreams!$E$33</f>
        <v>Per Hr</v>
      </c>
      <c r="H305" s="461">
        <f>F305*RevenueStreams!$D$33</f>
        <v>743.74400000000003</v>
      </c>
      <c r="I305" s="521">
        <f>8*3*2</f>
        <v>48</v>
      </c>
      <c r="J305" s="523" t="str">
        <f>RevenueStreams!$E$33</f>
        <v>Per Hr</v>
      </c>
      <c r="K305" s="461">
        <f>I305*RevenueStreams!$D$33</f>
        <v>743.74400000000003</v>
      </c>
      <c r="L305" s="521">
        <f>8*3*2</f>
        <v>48</v>
      </c>
      <c r="M305" s="523" t="str">
        <f>RevenueStreams!$E$33</f>
        <v>Per Hr</v>
      </c>
      <c r="N305" s="461">
        <f>L305*RevenueStreams!$D$33</f>
        <v>743.74400000000003</v>
      </c>
      <c r="O305" s="521">
        <f>8*3*2</f>
        <v>48</v>
      </c>
      <c r="P305" s="523" t="str">
        <f>RevenueStreams!$E$33</f>
        <v>Per Hr</v>
      </c>
      <c r="Q305" s="461">
        <f>O305*RevenueStreams!$D$33</f>
        <v>743.74400000000003</v>
      </c>
      <c r="R305" s="521">
        <f>8*3*2</f>
        <v>48</v>
      </c>
      <c r="S305" s="523" t="str">
        <f>RevenueStreams!$E$33</f>
        <v>Per Hr</v>
      </c>
      <c r="T305" s="461">
        <f>R305*RevenueStreams!$D$33</f>
        <v>743.74400000000003</v>
      </c>
      <c r="U305" s="521">
        <f>8*3*2</f>
        <v>48</v>
      </c>
      <c r="V305" s="523" t="str">
        <f>RevenueStreams!$E$33</f>
        <v>Per Hr</v>
      </c>
      <c r="W305" s="461">
        <f>U305*RevenueStreams!$D$33</f>
        <v>743.74400000000003</v>
      </c>
      <c r="X305" s="521">
        <f>8*3*2</f>
        <v>48</v>
      </c>
      <c r="Y305" s="523" t="str">
        <f>RevenueStreams!$E$33</f>
        <v>Per Hr</v>
      </c>
      <c r="Z305" s="461">
        <f>X305*RevenueStreams!$D$33</f>
        <v>743.74400000000003</v>
      </c>
      <c r="AA305" s="521">
        <f>8*3*2</f>
        <v>48</v>
      </c>
      <c r="AB305" s="523" t="str">
        <f>RevenueStreams!$E$33</f>
        <v>Per Hr</v>
      </c>
      <c r="AC305" s="461">
        <f>AA305*RevenueStreams!$D$33</f>
        <v>743.74400000000003</v>
      </c>
      <c r="AD305" s="521">
        <f>8*3*2</f>
        <v>48</v>
      </c>
      <c r="AE305" s="523" t="str">
        <f>RevenueStreams!$E$33</f>
        <v>Per Hr</v>
      </c>
      <c r="AF305" s="461">
        <f>AD305*RevenueStreams!$D$33</f>
        <v>743.74400000000003</v>
      </c>
      <c r="AG305" s="521">
        <f>8*3*2</f>
        <v>48</v>
      </c>
      <c r="AH305" s="523" t="str">
        <f>RevenueStreams!$E$33</f>
        <v>Per Hr</v>
      </c>
      <c r="AI305" s="461">
        <f>AG305*RevenueStreams!$D$33</f>
        <v>743.74400000000003</v>
      </c>
      <c r="AJ305" s="521">
        <f>8*3*2</f>
        <v>48</v>
      </c>
      <c r="AK305" s="523" t="str">
        <f>RevenueStreams!$E$33</f>
        <v>Per Hr</v>
      </c>
      <c r="AL305" s="461">
        <f>AJ305*RevenueStreams!$D$33</f>
        <v>743.74400000000003</v>
      </c>
    </row>
    <row r="306" spans="1:41" x14ac:dyDescent="0.35">
      <c r="A306" s="471">
        <f>SUM(E306,H306,K306,N306,Q306,T306,W306,Z306,AC306,AF306,AI306,AL306)</f>
        <v>9600</v>
      </c>
      <c r="B306" s="513" t="s">
        <v>520</v>
      </c>
      <c r="C306" s="521">
        <f>1*8*2</f>
        <v>16</v>
      </c>
      <c r="D306" s="523" t="str">
        <f>RevenueStreams!$E$34</f>
        <v>Per Hr</v>
      </c>
      <c r="E306" s="461">
        <f>C306*RevenueStreams!$D$34</f>
        <v>800</v>
      </c>
      <c r="F306" s="521">
        <f>1*8*2</f>
        <v>16</v>
      </c>
      <c r="G306" s="523" t="str">
        <f>RevenueStreams!$E$34</f>
        <v>Per Hr</v>
      </c>
      <c r="H306" s="461">
        <f>F306*RevenueStreams!$D$34</f>
        <v>800</v>
      </c>
      <c r="I306" s="521">
        <f>1*8*2</f>
        <v>16</v>
      </c>
      <c r="J306" s="523" t="str">
        <f>RevenueStreams!$E$34</f>
        <v>Per Hr</v>
      </c>
      <c r="K306" s="461">
        <f>I306*RevenueStreams!$D$34</f>
        <v>800</v>
      </c>
      <c r="L306" s="521">
        <f>1*8*2</f>
        <v>16</v>
      </c>
      <c r="M306" s="523" t="str">
        <f>RevenueStreams!$E$34</f>
        <v>Per Hr</v>
      </c>
      <c r="N306" s="461">
        <f>L306*RevenueStreams!$D$34</f>
        <v>800</v>
      </c>
      <c r="O306" s="521">
        <f>1*8*2</f>
        <v>16</v>
      </c>
      <c r="P306" s="523" t="str">
        <f>RevenueStreams!$E$34</f>
        <v>Per Hr</v>
      </c>
      <c r="Q306" s="461">
        <f>O306*RevenueStreams!$D$34</f>
        <v>800</v>
      </c>
      <c r="R306" s="521">
        <f>1*8*2</f>
        <v>16</v>
      </c>
      <c r="S306" s="523" t="str">
        <f>RevenueStreams!$E$34</f>
        <v>Per Hr</v>
      </c>
      <c r="T306" s="461">
        <f>R306*RevenueStreams!$D$34</f>
        <v>800</v>
      </c>
      <c r="U306" s="521">
        <f>1*8*2</f>
        <v>16</v>
      </c>
      <c r="V306" s="523" t="str">
        <f>RevenueStreams!$E$34</f>
        <v>Per Hr</v>
      </c>
      <c r="W306" s="461">
        <f>U306*RevenueStreams!$D$34</f>
        <v>800</v>
      </c>
      <c r="X306" s="521">
        <f>1*8*2</f>
        <v>16</v>
      </c>
      <c r="Y306" s="523" t="str">
        <f>RevenueStreams!$E$34</f>
        <v>Per Hr</v>
      </c>
      <c r="Z306" s="461">
        <f>X306*RevenueStreams!$D$34</f>
        <v>800</v>
      </c>
      <c r="AA306" s="521">
        <f>1*8*2</f>
        <v>16</v>
      </c>
      <c r="AB306" s="523" t="str">
        <f>RevenueStreams!$E$34</f>
        <v>Per Hr</v>
      </c>
      <c r="AC306" s="461">
        <f>AA306*RevenueStreams!$D$34</f>
        <v>800</v>
      </c>
      <c r="AD306" s="521">
        <f>1*8*2</f>
        <v>16</v>
      </c>
      <c r="AE306" s="523" t="str">
        <f>RevenueStreams!$E$34</f>
        <v>Per Hr</v>
      </c>
      <c r="AF306" s="461">
        <f>AD306*RevenueStreams!$D$34</f>
        <v>800</v>
      </c>
      <c r="AG306" s="521">
        <f>1*8*2</f>
        <v>16</v>
      </c>
      <c r="AH306" s="523" t="str">
        <f>RevenueStreams!$E$34</f>
        <v>Per Hr</v>
      </c>
      <c r="AI306" s="461">
        <f>AG306*RevenueStreams!$D$34</f>
        <v>800</v>
      </c>
      <c r="AJ306" s="521">
        <f>1*8*2</f>
        <v>16</v>
      </c>
      <c r="AK306" s="523" t="str">
        <f>RevenueStreams!$E$34</f>
        <v>Per Hr</v>
      </c>
      <c r="AL306" s="461">
        <f>AJ306*RevenueStreams!$D$34</f>
        <v>800</v>
      </c>
    </row>
    <row r="307" spans="1:41" x14ac:dyDescent="0.35">
      <c r="A307" s="472"/>
      <c r="B307" s="513" t="s">
        <v>499</v>
      </c>
      <c r="C307" s="521">
        <v>0</v>
      </c>
      <c r="D307" s="523" t="str">
        <f>RevenueStreams!$E$36</f>
        <v>% of Charged</v>
      </c>
      <c r="E307" s="461">
        <f>C307*RevenueStreams!$D$36</f>
        <v>0</v>
      </c>
      <c r="F307" s="521">
        <v>0</v>
      </c>
      <c r="G307" s="523" t="str">
        <f>RevenueStreams!$E$36</f>
        <v>% of Charged</v>
      </c>
      <c r="H307" s="461">
        <f>F307*RevenueStreams!$D$36</f>
        <v>0</v>
      </c>
      <c r="I307" s="521">
        <v>0</v>
      </c>
      <c r="J307" s="523" t="str">
        <f>RevenueStreams!$E$36</f>
        <v>% of Charged</v>
      </c>
      <c r="K307" s="461">
        <f>I307*RevenueStreams!$D$36</f>
        <v>0</v>
      </c>
      <c r="L307" s="521">
        <v>0</v>
      </c>
      <c r="M307" s="523" t="str">
        <f>RevenueStreams!$E$36</f>
        <v>% of Charged</v>
      </c>
      <c r="N307" s="461">
        <f>L307*RevenueStreams!$D$36</f>
        <v>0</v>
      </c>
      <c r="O307" s="521">
        <v>0</v>
      </c>
      <c r="P307" s="523" t="str">
        <f>RevenueStreams!$E$36</f>
        <v>% of Charged</v>
      </c>
      <c r="Q307" s="461">
        <f>O307*RevenueStreams!$D$36</f>
        <v>0</v>
      </c>
      <c r="R307" s="521">
        <v>0</v>
      </c>
      <c r="S307" s="523" t="str">
        <f>RevenueStreams!$E$36</f>
        <v>% of Charged</v>
      </c>
      <c r="T307" s="461">
        <f>R307*RevenueStreams!$D$36</f>
        <v>0</v>
      </c>
      <c r="U307" s="521">
        <v>0</v>
      </c>
      <c r="V307" s="523" t="str">
        <f>RevenueStreams!$E$36</f>
        <v>% of Charged</v>
      </c>
      <c r="W307" s="461">
        <f>U307*RevenueStreams!$D$36</f>
        <v>0</v>
      </c>
      <c r="X307" s="521">
        <v>0</v>
      </c>
      <c r="Y307" s="523" t="str">
        <f>RevenueStreams!$E$36</f>
        <v>% of Charged</v>
      </c>
      <c r="Z307" s="461">
        <f>X307*RevenueStreams!$D$36</f>
        <v>0</v>
      </c>
      <c r="AA307" s="521">
        <v>0</v>
      </c>
      <c r="AB307" s="523" t="str">
        <f>RevenueStreams!$E$36</f>
        <v>% of Charged</v>
      </c>
      <c r="AC307" s="461">
        <f>AA307*RevenueStreams!$D$36</f>
        <v>0</v>
      </c>
      <c r="AD307" s="521">
        <v>0</v>
      </c>
      <c r="AE307" s="523" t="str">
        <f>RevenueStreams!$E$36</f>
        <v>% of Charged</v>
      </c>
      <c r="AF307" s="461">
        <f>AD307*RevenueStreams!$D$36</f>
        <v>0</v>
      </c>
      <c r="AG307" s="521">
        <v>0</v>
      </c>
      <c r="AH307" s="523" t="str">
        <f>RevenueStreams!$E$36</f>
        <v>% of Charged</v>
      </c>
      <c r="AI307" s="461">
        <f>AG307*RevenueStreams!$D$36</f>
        <v>0</v>
      </c>
      <c r="AJ307" s="521">
        <v>0</v>
      </c>
      <c r="AK307" s="523" t="str">
        <f>RevenueStreams!$E$36</f>
        <v>% of Charged</v>
      </c>
      <c r="AL307" s="461">
        <f>AJ307*RevenueStreams!$D$36</f>
        <v>0</v>
      </c>
    </row>
    <row r="308" spans="1:41" x14ac:dyDescent="0.35">
      <c r="A308" s="469">
        <f>SUM(E308,H308,K308,N308,Q308,T308,W308,Z308,AC308,AF308,AI308,AL308)</f>
        <v>60605.903999999988</v>
      </c>
      <c r="B308" s="509" t="s">
        <v>712</v>
      </c>
      <c r="C308" s="519">
        <f>SUM(C285:C307)</f>
        <v>171</v>
      </c>
      <c r="D308" s="511"/>
      <c r="E308" s="510">
        <f>SUM(E285:E307)</f>
        <v>4316.7440000000006</v>
      </c>
      <c r="F308" s="519">
        <f>SUM(F285:F307)</f>
        <v>175</v>
      </c>
      <c r="G308" s="511"/>
      <c r="H308" s="510">
        <f>SUM(H285:H307)</f>
        <v>4496.7440000000006</v>
      </c>
      <c r="I308" s="519">
        <f>SUM(I285:I307)</f>
        <v>175</v>
      </c>
      <c r="J308" s="511"/>
      <c r="K308" s="510">
        <f>SUM(K285:K307)</f>
        <v>4496.7440000000006</v>
      </c>
      <c r="L308" s="519">
        <f>SUM(L285:L307)</f>
        <v>247</v>
      </c>
      <c r="M308" s="511"/>
      <c r="N308" s="510">
        <f>SUM(N285:N307)</f>
        <v>5235.1973333333335</v>
      </c>
      <c r="O308" s="519">
        <f>SUM(O285:O307)</f>
        <v>255</v>
      </c>
      <c r="P308" s="511"/>
      <c r="Q308" s="510">
        <f>SUM(Q285:Q307)</f>
        <v>5439.1973333333335</v>
      </c>
      <c r="R308" s="519">
        <f>SUM(R285:R307)</f>
        <v>284</v>
      </c>
      <c r="S308" s="511"/>
      <c r="T308" s="510">
        <f>SUM(T285:T307)</f>
        <v>7826.5053333333326</v>
      </c>
      <c r="U308" s="524">
        <f>SUM(U285:U307)</f>
        <v>255</v>
      </c>
      <c r="V308" s="525"/>
      <c r="W308" s="510">
        <f>SUM(W285:W307)</f>
        <v>7623.0519999999997</v>
      </c>
      <c r="X308" s="519">
        <f>SUM(X285:X307)</f>
        <v>168</v>
      </c>
      <c r="Y308" s="511"/>
      <c r="Z308" s="510">
        <f>SUM(Z285:Z307)</f>
        <v>4704.7440000000006</v>
      </c>
      <c r="AA308" s="519">
        <f>SUM(AA285:AA307)</f>
        <v>167</v>
      </c>
      <c r="AB308" s="511"/>
      <c r="AC308" s="510">
        <f>SUM(AC285:AC307)</f>
        <v>4416.7440000000006</v>
      </c>
      <c r="AD308" s="519">
        <f>SUM(AD285:AD307)</f>
        <v>127</v>
      </c>
      <c r="AE308" s="511"/>
      <c r="AF308" s="510">
        <f>SUM(AF285:AF307)</f>
        <v>4016.7440000000001</v>
      </c>
      <c r="AG308" s="519">
        <f>SUM(AG285:AG307)</f>
        <v>127</v>
      </c>
      <c r="AH308" s="511"/>
      <c r="AI308" s="510">
        <f>SUM(AI285:AI307)</f>
        <v>4016.7440000000001</v>
      </c>
      <c r="AJ308" s="519">
        <f>SUM(AJ285:AJ307)</f>
        <v>127</v>
      </c>
      <c r="AK308" s="511"/>
      <c r="AL308" s="510">
        <f>SUM(AL285:AL307)</f>
        <v>4016.7440000000001</v>
      </c>
    </row>
    <row r="309" spans="1:41" x14ac:dyDescent="0.35">
      <c r="A309" s="134"/>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529"/>
    </row>
    <row r="310" spans="1:41" x14ac:dyDescent="0.35">
      <c r="A310" s="530" t="s">
        <v>653</v>
      </c>
      <c r="B310" s="508" t="s">
        <v>713</v>
      </c>
      <c r="C310" s="501" t="s">
        <v>33</v>
      </c>
      <c r="D310" s="502"/>
      <c r="E310" s="503" t="s">
        <v>320</v>
      </c>
      <c r="F310" s="501" t="s">
        <v>33</v>
      </c>
      <c r="G310" s="502"/>
      <c r="H310" s="503" t="s">
        <v>320</v>
      </c>
      <c r="I310" s="501" t="s">
        <v>33</v>
      </c>
      <c r="J310" s="502"/>
      <c r="K310" s="503" t="s">
        <v>320</v>
      </c>
      <c r="L310" s="501" t="s">
        <v>33</v>
      </c>
      <c r="M310" s="502"/>
      <c r="N310" s="503" t="s">
        <v>320</v>
      </c>
      <c r="O310" s="501" t="s">
        <v>33</v>
      </c>
      <c r="P310" s="502"/>
      <c r="Q310" s="503" t="s">
        <v>320</v>
      </c>
      <c r="R310" s="501" t="s">
        <v>33</v>
      </c>
      <c r="S310" s="502"/>
      <c r="T310" s="503" t="s">
        <v>320</v>
      </c>
      <c r="U310" s="501" t="s">
        <v>33</v>
      </c>
      <c r="V310" s="502"/>
      <c r="W310" s="503" t="s">
        <v>320</v>
      </c>
      <c r="X310" s="501" t="s">
        <v>33</v>
      </c>
      <c r="Y310" s="502"/>
      <c r="Z310" s="503" t="s">
        <v>320</v>
      </c>
      <c r="AA310" s="501" t="s">
        <v>33</v>
      </c>
      <c r="AB310" s="502"/>
      <c r="AC310" s="503" t="s">
        <v>320</v>
      </c>
      <c r="AD310" s="501" t="s">
        <v>33</v>
      </c>
      <c r="AE310" s="502"/>
      <c r="AF310" s="503" t="s">
        <v>320</v>
      </c>
      <c r="AG310" s="501" t="s">
        <v>33</v>
      </c>
      <c r="AH310" s="502"/>
      <c r="AI310" s="503" t="s">
        <v>320</v>
      </c>
      <c r="AJ310" s="501" t="s">
        <v>33</v>
      </c>
      <c r="AK310" s="502"/>
      <c r="AL310" s="503" t="s">
        <v>320</v>
      </c>
    </row>
    <row r="311" spans="1:41" x14ac:dyDescent="0.35">
      <c r="A311" s="471">
        <f>SUM(E311,H311,K311,N311,Q311,T311,W311,Z311,AC311,AF311,AI311,AL311)</f>
        <v>49308.480000000003</v>
      </c>
      <c r="B311" s="506">
        <f>Payroll!B280</f>
        <v>0</v>
      </c>
      <c r="C311" s="517">
        <v>120</v>
      </c>
      <c r="D311" s="504"/>
      <c r="E311" s="461">
        <f>C311*Payroll!$O$19/(50*5*8/12)</f>
        <v>4109.04</v>
      </c>
      <c r="F311" s="517">
        <v>120</v>
      </c>
      <c r="G311" s="504"/>
      <c r="H311" s="461">
        <f>F311*Payroll!$O$19/(50*5*8/12)</f>
        <v>4109.04</v>
      </c>
      <c r="I311" s="517">
        <v>120</v>
      </c>
      <c r="J311" s="504"/>
      <c r="K311" s="461">
        <f>I311*Payroll!$O$19/(50*5*8/12)</f>
        <v>4109.04</v>
      </c>
      <c r="L311" s="517">
        <v>120</v>
      </c>
      <c r="M311" s="504"/>
      <c r="N311" s="461">
        <f>L311*Payroll!$O$19/(50*5*8/12)</f>
        <v>4109.04</v>
      </c>
      <c r="O311" s="517">
        <v>120</v>
      </c>
      <c r="P311" s="504"/>
      <c r="Q311" s="461">
        <f>O311*Payroll!$O$19/(50*5*8/12)</f>
        <v>4109.04</v>
      </c>
      <c r="R311" s="517">
        <v>120</v>
      </c>
      <c r="S311" s="504"/>
      <c r="T311" s="461">
        <f>R311*Payroll!$O$19/(50*5*8/12)</f>
        <v>4109.04</v>
      </c>
      <c r="U311" s="517">
        <v>120</v>
      </c>
      <c r="V311" s="504"/>
      <c r="W311" s="461">
        <f>U311*Payroll!$O$19/(50*5*8/12)</f>
        <v>4109.04</v>
      </c>
      <c r="X311" s="517">
        <v>120</v>
      </c>
      <c r="Y311" s="504"/>
      <c r="Z311" s="461">
        <f>X311*Payroll!$O$19/(50*5*8/12)</f>
        <v>4109.04</v>
      </c>
      <c r="AA311" s="517">
        <v>120</v>
      </c>
      <c r="AB311" s="504"/>
      <c r="AC311" s="461">
        <f>AA311*Payroll!$O$19/(50*5*8/12)</f>
        <v>4109.04</v>
      </c>
      <c r="AD311" s="517">
        <v>120</v>
      </c>
      <c r="AE311" s="504"/>
      <c r="AF311" s="461">
        <f>AD311*Payroll!$O$19/(50*5*8/12)</f>
        <v>4109.04</v>
      </c>
      <c r="AG311" s="517">
        <v>120</v>
      </c>
      <c r="AH311" s="504"/>
      <c r="AI311" s="461">
        <f>AG311*Payroll!$O$19/(50*5*8/12)</f>
        <v>4109.04</v>
      </c>
      <c r="AJ311" s="517">
        <v>120</v>
      </c>
      <c r="AK311" s="504"/>
      <c r="AL311" s="461">
        <f>AJ311*Payroll!$O$19/(50*5*8/12)</f>
        <v>4109.04</v>
      </c>
      <c r="AN311" s="114" t="s">
        <v>744</v>
      </c>
      <c r="AO311" s="446">
        <f>SUM(A311:A317)</f>
        <v>98616.960000000006</v>
      </c>
    </row>
    <row r="312" spans="1:41" x14ac:dyDescent="0.35">
      <c r="A312" s="471">
        <f>SUM(E312,H312,K312,N312,Q312,T312,W312,Z312,AC312,AF312,AI312,AL312)</f>
        <v>0</v>
      </c>
      <c r="B312" s="506">
        <f>Payroll!B281</f>
        <v>0</v>
      </c>
      <c r="C312" s="517"/>
      <c r="D312" s="504"/>
      <c r="E312" s="461">
        <f>C312*Payroll!$O$19/(50*5*8/12)</f>
        <v>0</v>
      </c>
      <c r="F312" s="517"/>
      <c r="G312" s="504"/>
      <c r="H312" s="461">
        <f>F312*Payroll!$O$19/(50*5*8/12)</f>
        <v>0</v>
      </c>
      <c r="I312" s="517"/>
      <c r="J312" s="504"/>
      <c r="K312" s="461">
        <f>I312*Payroll!$O$19/(50*5*8/12)</f>
        <v>0</v>
      </c>
      <c r="L312" s="517"/>
      <c r="M312" s="504"/>
      <c r="N312" s="461">
        <f>L312*Payroll!$O$19/(50*5*8/12)</f>
        <v>0</v>
      </c>
      <c r="O312" s="517"/>
      <c r="P312" s="504"/>
      <c r="Q312" s="461">
        <f>O312*Payroll!$O$19/(50*5*8/12)</f>
        <v>0</v>
      </c>
      <c r="R312" s="517"/>
      <c r="S312" s="504"/>
      <c r="T312" s="461">
        <f>R312*Payroll!$O$19/(50*5*8/12)</f>
        <v>0</v>
      </c>
      <c r="U312" s="517"/>
      <c r="V312" s="504"/>
      <c r="W312" s="461">
        <f>U312*Payroll!$O$19/(50*5*8/12)</f>
        <v>0</v>
      </c>
      <c r="X312" s="517"/>
      <c r="Y312" s="504"/>
      <c r="Z312" s="461">
        <f>X312*Payroll!$O$19/(50*5*8/12)</f>
        <v>0</v>
      </c>
      <c r="AA312" s="517"/>
      <c r="AB312" s="504"/>
      <c r="AC312" s="461">
        <f>AA312*Payroll!$O$19/(50*5*8/12)</f>
        <v>0</v>
      </c>
      <c r="AD312" s="517"/>
      <c r="AE312" s="504"/>
      <c r="AF312" s="461">
        <f>AD312*Payroll!$O$19/(50*5*8/12)</f>
        <v>0</v>
      </c>
      <c r="AG312" s="517"/>
      <c r="AH312" s="504"/>
      <c r="AI312" s="461">
        <f>AG312*Payroll!$O$19/(50*5*8/12)</f>
        <v>0</v>
      </c>
      <c r="AJ312" s="517"/>
      <c r="AK312" s="504"/>
      <c r="AL312" s="461">
        <f>AJ312*Payroll!$O$19/(50*5*8/12)</f>
        <v>0</v>
      </c>
      <c r="AN312" s="114" t="s">
        <v>745</v>
      </c>
      <c r="AO312" s="446">
        <f>SUM(A322,A323,A324,A329,A331,A332,A333,A335)</f>
        <v>33780</v>
      </c>
    </row>
    <row r="313" spans="1:41" x14ac:dyDescent="0.35">
      <c r="A313" s="471">
        <f>SUM(E313,H313,K313,N313,Q313,T313,W313,Z313,AC313,AF313,AI313,AL313)</f>
        <v>49308.480000000003</v>
      </c>
      <c r="B313" s="506">
        <f>Payroll!B282</f>
        <v>0</v>
      </c>
      <c r="C313" s="517">
        <v>120</v>
      </c>
      <c r="D313" s="504"/>
      <c r="E313" s="461">
        <f>C313*Payroll!$O$19/(50*5*8/12)</f>
        <v>4109.04</v>
      </c>
      <c r="F313" s="517">
        <v>120</v>
      </c>
      <c r="G313" s="504"/>
      <c r="H313" s="461">
        <f>F313*Payroll!$O$19/(50*5*8/12)</f>
        <v>4109.04</v>
      </c>
      <c r="I313" s="517">
        <v>120</v>
      </c>
      <c r="J313" s="504"/>
      <c r="K313" s="461">
        <f>I313*Payroll!$O$19/(50*5*8/12)</f>
        <v>4109.04</v>
      </c>
      <c r="L313" s="517">
        <v>120</v>
      </c>
      <c r="M313" s="504"/>
      <c r="N313" s="461">
        <f>L313*Payroll!$O$19/(50*5*8/12)</f>
        <v>4109.04</v>
      </c>
      <c r="O313" s="517">
        <v>120</v>
      </c>
      <c r="P313" s="504"/>
      <c r="Q313" s="461">
        <f>O313*Payroll!$O$19/(50*5*8/12)</f>
        <v>4109.04</v>
      </c>
      <c r="R313" s="517">
        <v>120</v>
      </c>
      <c r="S313" s="504"/>
      <c r="T313" s="461">
        <f>R313*Payroll!$O$19/(50*5*8/12)</f>
        <v>4109.04</v>
      </c>
      <c r="U313" s="517">
        <v>120</v>
      </c>
      <c r="V313" s="504"/>
      <c r="W313" s="461">
        <f>U313*Payroll!$O$19/(50*5*8/12)</f>
        <v>4109.04</v>
      </c>
      <c r="X313" s="517">
        <v>120</v>
      </c>
      <c r="Y313" s="504"/>
      <c r="Z313" s="461">
        <f>X313*Payroll!$O$19/(50*5*8/12)</f>
        <v>4109.04</v>
      </c>
      <c r="AA313" s="517">
        <v>120</v>
      </c>
      <c r="AB313" s="504"/>
      <c r="AC313" s="461">
        <f>AA313*Payroll!$O$19/(50*5*8/12)</f>
        <v>4109.04</v>
      </c>
      <c r="AD313" s="517">
        <v>120</v>
      </c>
      <c r="AE313" s="504"/>
      <c r="AF313" s="461">
        <f>AD313*Payroll!$O$19/(50*5*8/12)</f>
        <v>4109.04</v>
      </c>
      <c r="AG313" s="517">
        <v>120</v>
      </c>
      <c r="AH313" s="504"/>
      <c r="AI313" s="461">
        <f>AG313*Payroll!$O$19/(50*5*8/12)</f>
        <v>4109.04</v>
      </c>
      <c r="AJ313" s="517">
        <v>120</v>
      </c>
      <c r="AK313" s="504"/>
      <c r="AL313" s="461">
        <f>AJ313*Payroll!$O$19/(50*5*8/12)</f>
        <v>4109.04</v>
      </c>
      <c r="AN313" s="114" t="s">
        <v>746</v>
      </c>
      <c r="AO313" s="446">
        <f>SUM(A323,A325,A327,A328,A336)</f>
        <v>14050</v>
      </c>
    </row>
    <row r="314" spans="1:41" x14ac:dyDescent="0.35">
      <c r="A314" s="471">
        <f>SUM(E314,H314,K314,N314,Q314,T314,W314,Z314,AC314,AF314,AI314,AL314)</f>
        <v>0</v>
      </c>
      <c r="B314" s="506">
        <f>Payroll!B283</f>
        <v>0</v>
      </c>
      <c r="C314" s="517"/>
      <c r="D314" s="504"/>
      <c r="E314" s="461">
        <f>C314*Payroll!$O$19/(50*5*8/12)</f>
        <v>0</v>
      </c>
      <c r="F314" s="517"/>
      <c r="G314" s="504"/>
      <c r="H314" s="461">
        <f>F314*Payroll!$O$19/(50*5*8/12)</f>
        <v>0</v>
      </c>
      <c r="I314" s="517"/>
      <c r="J314" s="504"/>
      <c r="K314" s="461">
        <f>I314*Payroll!$O$19/(50*5*8/12)</f>
        <v>0</v>
      </c>
      <c r="L314" s="517"/>
      <c r="M314" s="504"/>
      <c r="N314" s="461">
        <f>L314*Payroll!$O$19/(50*5*8/12)</f>
        <v>0</v>
      </c>
      <c r="O314" s="517"/>
      <c r="P314" s="504"/>
      <c r="Q314" s="461">
        <f>O314*Payroll!$O$19/(50*5*8/12)</f>
        <v>0</v>
      </c>
      <c r="R314" s="517"/>
      <c r="S314" s="504"/>
      <c r="T314" s="461">
        <f>R314*Payroll!$O$19/(50*5*8/12)</f>
        <v>0</v>
      </c>
      <c r="U314" s="517"/>
      <c r="V314" s="504"/>
      <c r="W314" s="461">
        <f>U314*Payroll!$O$19/(50*5*8/12)</f>
        <v>0</v>
      </c>
      <c r="X314" s="517"/>
      <c r="Y314" s="504"/>
      <c r="Z314" s="461">
        <f>X314*Payroll!$O$19/(50*5*8/12)</f>
        <v>0</v>
      </c>
      <c r="AA314" s="517"/>
      <c r="AB314" s="504"/>
      <c r="AC314" s="461">
        <f>AA314*Payroll!$O$19/(50*5*8/12)</f>
        <v>0</v>
      </c>
      <c r="AD314" s="517"/>
      <c r="AE314" s="504"/>
      <c r="AF314" s="461">
        <f>AD314*Payroll!$O$19/(50*5*8/12)</f>
        <v>0</v>
      </c>
      <c r="AG314" s="517"/>
      <c r="AH314" s="504"/>
      <c r="AI314" s="461">
        <f>AG314*Payroll!$O$19/(50*5*8/12)</f>
        <v>0</v>
      </c>
      <c r="AJ314" s="517"/>
      <c r="AK314" s="504"/>
      <c r="AL314" s="461">
        <f>AJ314*Payroll!$O$19/(50*5*8/12)</f>
        <v>0</v>
      </c>
      <c r="AN314" s="114" t="s">
        <v>747</v>
      </c>
      <c r="AO314" s="446">
        <f>SUM(A326,A321,A334)</f>
        <v>8400</v>
      </c>
    </row>
    <row r="315" spans="1:41" x14ac:dyDescent="0.35">
      <c r="A315" s="471">
        <f>SUM(E315,H315,K315,N315,Q315,T315,W315,Z315,AC315,AF315,AI315,AL315)</f>
        <v>0</v>
      </c>
      <c r="B315" s="506">
        <f>Payroll!B284</f>
        <v>0</v>
      </c>
      <c r="C315" s="517"/>
      <c r="D315" s="504"/>
      <c r="E315" s="461">
        <f>C315*Payroll!$O$19/(50*5*8/12)</f>
        <v>0</v>
      </c>
      <c r="F315" s="517"/>
      <c r="G315" s="504"/>
      <c r="H315" s="461">
        <f>F315*Payroll!$O$19/(50*5*8/12)</f>
        <v>0</v>
      </c>
      <c r="I315" s="517"/>
      <c r="J315" s="504"/>
      <c r="K315" s="461">
        <f>I315*Payroll!$O$19/(50*5*8/12)</f>
        <v>0</v>
      </c>
      <c r="L315" s="517"/>
      <c r="M315" s="504"/>
      <c r="N315" s="461">
        <f>L315*Payroll!$O$19/(50*5*8/12)</f>
        <v>0</v>
      </c>
      <c r="O315" s="517"/>
      <c r="P315" s="504"/>
      <c r="Q315" s="461">
        <f>O315*Payroll!$O$19/(50*5*8/12)</f>
        <v>0</v>
      </c>
      <c r="R315" s="517"/>
      <c r="S315" s="504"/>
      <c r="T315" s="461">
        <f>R315*Payroll!$O$19/(50*5*8/12)</f>
        <v>0</v>
      </c>
      <c r="U315" s="517"/>
      <c r="V315" s="504"/>
      <c r="W315" s="461">
        <f>U315*Payroll!$O$19/(50*5*8/12)</f>
        <v>0</v>
      </c>
      <c r="X315" s="517"/>
      <c r="Y315" s="504"/>
      <c r="Z315" s="461">
        <f>X315*Payroll!$O$19/(50*5*8/12)</f>
        <v>0</v>
      </c>
      <c r="AA315" s="517"/>
      <c r="AB315" s="504"/>
      <c r="AC315" s="461">
        <f>AA315*Payroll!$O$19/(50*5*8/12)</f>
        <v>0</v>
      </c>
      <c r="AD315" s="517"/>
      <c r="AE315" s="504"/>
      <c r="AF315" s="461">
        <f>AD315*Payroll!$O$19/(50*5*8/12)</f>
        <v>0</v>
      </c>
      <c r="AG315" s="517"/>
      <c r="AH315" s="504"/>
      <c r="AI315" s="461">
        <f>AG315*Payroll!$O$19/(50*5*8/12)</f>
        <v>0</v>
      </c>
      <c r="AJ315" s="517"/>
      <c r="AK315" s="504"/>
      <c r="AL315" s="461">
        <f>AJ315*Payroll!$O$19/(50*5*8/12)</f>
        <v>0</v>
      </c>
    </row>
    <row r="316" spans="1:41" x14ac:dyDescent="0.35">
      <c r="A316" s="471">
        <f t="shared" ref="A316:A317" si="18">SUM(E316,H316,K316,N316,Q316,T316,W316,Z316,AC316,AF316,AI316,AL316)</f>
        <v>0</v>
      </c>
      <c r="B316" s="506">
        <f>Payroll!B285</f>
        <v>0</v>
      </c>
      <c r="C316" s="517"/>
      <c r="D316" s="504"/>
      <c r="E316" s="461">
        <f>C316*Payroll!$O$19/(50*5*8/12)</f>
        <v>0</v>
      </c>
      <c r="F316" s="517"/>
      <c r="G316" s="504"/>
      <c r="H316" s="461">
        <f>F316*Payroll!$O$19/(50*5*8/12)</f>
        <v>0</v>
      </c>
      <c r="I316" s="517"/>
      <c r="J316" s="504"/>
      <c r="K316" s="461">
        <f>I316*Payroll!$O$19/(50*5*8/12)</f>
        <v>0</v>
      </c>
      <c r="L316" s="517"/>
      <c r="M316" s="504"/>
      <c r="N316" s="461">
        <f>L316*Payroll!$O$19/(50*5*8/12)</f>
        <v>0</v>
      </c>
      <c r="O316" s="517"/>
      <c r="P316" s="504"/>
      <c r="Q316" s="461">
        <f>O316*Payroll!$O$19/(50*5*8/12)</f>
        <v>0</v>
      </c>
      <c r="R316" s="517"/>
      <c r="S316" s="504"/>
      <c r="T316" s="461">
        <f>R316*Payroll!$O$19/(50*5*8/12)</f>
        <v>0</v>
      </c>
      <c r="U316" s="517"/>
      <c r="V316" s="504"/>
      <c r="W316" s="461">
        <f>U316*Payroll!$O$19/(50*5*8/12)</f>
        <v>0</v>
      </c>
      <c r="X316" s="517"/>
      <c r="Y316" s="504"/>
      <c r="Z316" s="461">
        <f>X316*Payroll!$O$19/(50*5*8/12)</f>
        <v>0</v>
      </c>
      <c r="AA316" s="517"/>
      <c r="AB316" s="504"/>
      <c r="AC316" s="461">
        <f>AA316*Payroll!$O$19/(50*5*8/12)</f>
        <v>0</v>
      </c>
      <c r="AD316" s="517"/>
      <c r="AE316" s="504"/>
      <c r="AF316" s="461">
        <f>AD316*Payroll!$O$19/(50*5*8/12)</f>
        <v>0</v>
      </c>
      <c r="AG316" s="517"/>
      <c r="AH316" s="504"/>
      <c r="AI316" s="461">
        <f>AG316*Payroll!$O$19/(50*5*8/12)</f>
        <v>0</v>
      </c>
      <c r="AJ316" s="517"/>
      <c r="AK316" s="504"/>
      <c r="AL316" s="461">
        <f>AJ316*Payroll!$O$19/(50*5*8/12)</f>
        <v>0</v>
      </c>
    </row>
    <row r="317" spans="1:41" x14ac:dyDescent="0.35">
      <c r="A317" s="471">
        <f t="shared" si="18"/>
        <v>0</v>
      </c>
      <c r="B317" s="506">
        <f>Payroll!B286</f>
        <v>0</v>
      </c>
      <c r="C317" s="517"/>
      <c r="D317" s="504"/>
      <c r="E317" s="461">
        <f>C317*Payroll!$O$19/(50*5*8/12)</f>
        <v>0</v>
      </c>
      <c r="F317" s="517"/>
      <c r="G317" s="504"/>
      <c r="H317" s="461">
        <f>F317*Payroll!$O$19/(50*5*8/12)</f>
        <v>0</v>
      </c>
      <c r="I317" s="517"/>
      <c r="J317" s="504"/>
      <c r="K317" s="461">
        <f>I317*Payroll!$O$19/(50*5*8/12)</f>
        <v>0</v>
      </c>
      <c r="L317" s="517"/>
      <c r="M317" s="504"/>
      <c r="N317" s="461">
        <f>L317*Payroll!$O$19/(50*5*8/12)</f>
        <v>0</v>
      </c>
      <c r="O317" s="517"/>
      <c r="P317" s="504"/>
      <c r="Q317" s="461">
        <f>O317*Payroll!$O$19/(50*5*8/12)</f>
        <v>0</v>
      </c>
      <c r="R317" s="517"/>
      <c r="S317" s="504"/>
      <c r="T317" s="461">
        <f>R317*Payroll!$O$19/(50*5*8/12)</f>
        <v>0</v>
      </c>
      <c r="U317" s="517"/>
      <c r="V317" s="504"/>
      <c r="W317" s="461">
        <f>U317*Payroll!$O$19/(50*5*8/12)</f>
        <v>0</v>
      </c>
      <c r="X317" s="517"/>
      <c r="Y317" s="504"/>
      <c r="Z317" s="461">
        <f>X317*Payroll!$O$19/(50*5*8/12)</f>
        <v>0</v>
      </c>
      <c r="AA317" s="517"/>
      <c r="AB317" s="504"/>
      <c r="AC317" s="461">
        <f>AA317*Payroll!$O$19/(50*5*8/12)</f>
        <v>0</v>
      </c>
      <c r="AD317" s="517"/>
      <c r="AE317" s="504"/>
      <c r="AF317" s="461">
        <f>AD317*Payroll!$O$19/(50*5*8/12)</f>
        <v>0</v>
      </c>
      <c r="AG317" s="517"/>
      <c r="AH317" s="504"/>
      <c r="AI317" s="461">
        <f>AG317*Payroll!$O$19/(50*5*8/12)</f>
        <v>0</v>
      </c>
      <c r="AJ317" s="517"/>
      <c r="AK317" s="504"/>
      <c r="AL317" s="461">
        <f>AJ317*Payroll!$O$19/(50*5*8/12)</f>
        <v>0</v>
      </c>
    </row>
    <row r="318" spans="1:41" x14ac:dyDescent="0.35">
      <c r="A318" s="469">
        <f>SUM(E318,H318,K318,N318,Q318,T318,W318,Z318,AC318,AF318,AI318,AL318)</f>
        <v>98616.960000000006</v>
      </c>
      <c r="B318" s="509" t="s">
        <v>714</v>
      </c>
      <c r="C318" s="516">
        <f>SUM(C311:C315)</f>
        <v>240</v>
      </c>
      <c r="D318" s="511"/>
      <c r="E318" s="510">
        <f>SUM(E311:E317)</f>
        <v>8218.08</v>
      </c>
      <c r="F318" s="516">
        <f>SUM(F311:F315)</f>
        <v>240</v>
      </c>
      <c r="G318" s="511"/>
      <c r="H318" s="510">
        <f>SUM(H311:H317)</f>
        <v>8218.08</v>
      </c>
      <c r="I318" s="516">
        <f>SUM(I311:I315)</f>
        <v>240</v>
      </c>
      <c r="J318" s="511"/>
      <c r="K318" s="510">
        <f>SUM(K311:K317)</f>
        <v>8218.08</v>
      </c>
      <c r="L318" s="516">
        <f>SUM(L311:L315)</f>
        <v>240</v>
      </c>
      <c r="M318" s="511"/>
      <c r="N318" s="510">
        <f>SUM(N311:N317)</f>
        <v>8218.08</v>
      </c>
      <c r="O318" s="516">
        <f>SUM(O311:O315)</f>
        <v>240</v>
      </c>
      <c r="P318" s="511"/>
      <c r="Q318" s="510">
        <f>SUM(Q311:Q317)</f>
        <v>8218.08</v>
      </c>
      <c r="R318" s="516">
        <f>SUM(R311:R315)</f>
        <v>240</v>
      </c>
      <c r="S318" s="511"/>
      <c r="T318" s="510">
        <f>SUM(T311:T317)</f>
        <v>8218.08</v>
      </c>
      <c r="U318" s="516">
        <f>SUM(U311:U315)</f>
        <v>240</v>
      </c>
      <c r="V318" s="511"/>
      <c r="W318" s="510">
        <f>SUM(W311:W317)</f>
        <v>8218.08</v>
      </c>
      <c r="X318" s="516">
        <f>SUM(X311:X315)</f>
        <v>240</v>
      </c>
      <c r="Y318" s="511"/>
      <c r="Z318" s="510">
        <f>SUM(Z311:Z317)</f>
        <v>8218.08</v>
      </c>
      <c r="AA318" s="516">
        <f>SUM(AA311:AA315)</f>
        <v>240</v>
      </c>
      <c r="AB318" s="511"/>
      <c r="AC318" s="510">
        <f>SUM(AC311:AC317)</f>
        <v>8218.08</v>
      </c>
      <c r="AD318" s="516">
        <f>SUM(AD311:AD315)</f>
        <v>240</v>
      </c>
      <c r="AE318" s="511"/>
      <c r="AF318" s="510">
        <f>SUM(AF311:AF317)</f>
        <v>8218.08</v>
      </c>
      <c r="AG318" s="516">
        <f>SUM(AG311:AG315)</f>
        <v>240</v>
      </c>
      <c r="AH318" s="511"/>
      <c r="AI318" s="510">
        <f>SUM(AI311:AI317)</f>
        <v>8218.08</v>
      </c>
      <c r="AJ318" s="516">
        <f>SUM(AJ311:AJ315)</f>
        <v>240</v>
      </c>
      <c r="AK318" s="511"/>
      <c r="AL318" s="510">
        <f>SUM(AL311:AL317)</f>
        <v>8218.08</v>
      </c>
    </row>
    <row r="319" spans="1:41" x14ac:dyDescent="0.35">
      <c r="A319" s="134"/>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529"/>
    </row>
    <row r="320" spans="1:41" x14ac:dyDescent="0.35">
      <c r="A320" s="530" t="s">
        <v>653</v>
      </c>
      <c r="B320" s="508" t="s">
        <v>715</v>
      </c>
      <c r="C320" s="544" t="s">
        <v>654</v>
      </c>
      <c r="D320" s="545"/>
      <c r="E320" s="477" t="s">
        <v>320</v>
      </c>
      <c r="F320" s="544" t="s">
        <v>654</v>
      </c>
      <c r="G320" s="545"/>
      <c r="H320" s="477" t="s">
        <v>320</v>
      </c>
      <c r="I320" s="544" t="s">
        <v>654</v>
      </c>
      <c r="J320" s="545"/>
      <c r="K320" s="477" t="s">
        <v>320</v>
      </c>
      <c r="L320" s="544" t="s">
        <v>654</v>
      </c>
      <c r="M320" s="545"/>
      <c r="N320" s="477" t="s">
        <v>320</v>
      </c>
      <c r="O320" s="544" t="s">
        <v>654</v>
      </c>
      <c r="P320" s="545"/>
      <c r="Q320" s="477" t="s">
        <v>320</v>
      </c>
      <c r="R320" s="544" t="s">
        <v>654</v>
      </c>
      <c r="S320" s="545"/>
      <c r="T320" s="477" t="s">
        <v>320</v>
      </c>
      <c r="U320" s="544" t="s">
        <v>654</v>
      </c>
      <c r="V320" s="545"/>
      <c r="W320" s="477" t="s">
        <v>320</v>
      </c>
      <c r="X320" s="544" t="s">
        <v>654</v>
      </c>
      <c r="Y320" s="545"/>
      <c r="Z320" s="477" t="s">
        <v>320</v>
      </c>
      <c r="AA320" s="544" t="s">
        <v>654</v>
      </c>
      <c r="AB320" s="545"/>
      <c r="AC320" s="477" t="s">
        <v>320</v>
      </c>
      <c r="AD320" s="544" t="s">
        <v>654</v>
      </c>
      <c r="AE320" s="545"/>
      <c r="AF320" s="477" t="s">
        <v>320</v>
      </c>
      <c r="AG320" s="544" t="s">
        <v>654</v>
      </c>
      <c r="AH320" s="545"/>
      <c r="AI320" s="477" t="s">
        <v>320</v>
      </c>
      <c r="AJ320" s="544" t="s">
        <v>654</v>
      </c>
      <c r="AK320" s="545"/>
      <c r="AL320" s="477" t="s">
        <v>320</v>
      </c>
    </row>
    <row r="321" spans="1:38" x14ac:dyDescent="0.35">
      <c r="A321" s="471">
        <f>SUM(E321,H321,K321,N321,Q321,T321,W321,Z321,AC321,AF321,AI321,AL321)</f>
        <v>2400</v>
      </c>
      <c r="B321" s="506" t="s">
        <v>639</v>
      </c>
      <c r="C321" s="541"/>
      <c r="D321" s="542"/>
      <c r="E321" s="518">
        <v>200</v>
      </c>
      <c r="F321" s="541"/>
      <c r="G321" s="542"/>
      <c r="H321" s="518">
        <v>200</v>
      </c>
      <c r="I321" s="541"/>
      <c r="J321" s="542"/>
      <c r="K321" s="518">
        <v>200</v>
      </c>
      <c r="L321" s="541"/>
      <c r="M321" s="542"/>
      <c r="N321" s="518">
        <v>200</v>
      </c>
      <c r="O321" s="541"/>
      <c r="P321" s="542"/>
      <c r="Q321" s="518">
        <v>200</v>
      </c>
      <c r="R321" s="541"/>
      <c r="S321" s="542"/>
      <c r="T321" s="518">
        <v>200</v>
      </c>
      <c r="U321" s="541"/>
      <c r="V321" s="542"/>
      <c r="W321" s="518">
        <v>200</v>
      </c>
      <c r="X321" s="541"/>
      <c r="Y321" s="542"/>
      <c r="Z321" s="518">
        <v>200</v>
      </c>
      <c r="AA321" s="541"/>
      <c r="AB321" s="542"/>
      <c r="AC321" s="518">
        <v>200</v>
      </c>
      <c r="AD321" s="541"/>
      <c r="AE321" s="542"/>
      <c r="AF321" s="518">
        <v>200</v>
      </c>
      <c r="AG321" s="541"/>
      <c r="AH321" s="542"/>
      <c r="AI321" s="518">
        <v>200</v>
      </c>
      <c r="AJ321" s="541"/>
      <c r="AK321" s="542"/>
      <c r="AL321" s="518">
        <v>200</v>
      </c>
    </row>
    <row r="322" spans="1:38" x14ac:dyDescent="0.35">
      <c r="A322" s="471">
        <f t="shared" ref="A322:A326" si="19">SUM(E322,H322,K322,N322,Q322,T322,W322,Z322,AC322,AF322,AI322,AL322)</f>
        <v>0</v>
      </c>
      <c r="B322" s="506" t="s">
        <v>640</v>
      </c>
      <c r="C322" s="541"/>
      <c r="D322" s="542"/>
      <c r="E322" s="518"/>
      <c r="F322" s="541"/>
      <c r="G322" s="542"/>
      <c r="H322" s="518"/>
      <c r="I322" s="541"/>
      <c r="J322" s="542"/>
      <c r="K322" s="518"/>
      <c r="L322" s="541"/>
      <c r="M322" s="542"/>
      <c r="N322" s="518"/>
      <c r="O322" s="541"/>
      <c r="P322" s="542"/>
      <c r="Q322" s="518"/>
      <c r="R322" s="541"/>
      <c r="S322" s="542"/>
      <c r="T322" s="518"/>
      <c r="U322" s="541"/>
      <c r="V322" s="542"/>
      <c r="W322" s="518"/>
      <c r="X322" s="541"/>
      <c r="Y322" s="542"/>
      <c r="Z322" s="518"/>
      <c r="AA322" s="541"/>
      <c r="AB322" s="542"/>
      <c r="AC322" s="518"/>
      <c r="AD322" s="541"/>
      <c r="AE322" s="542"/>
      <c r="AF322" s="518"/>
      <c r="AG322" s="541"/>
      <c r="AH322" s="542"/>
      <c r="AI322" s="518"/>
      <c r="AJ322" s="541"/>
      <c r="AK322" s="542"/>
      <c r="AL322" s="518"/>
    </row>
    <row r="323" spans="1:38" x14ac:dyDescent="0.35">
      <c r="A323" s="471">
        <f t="shared" si="19"/>
        <v>0</v>
      </c>
      <c r="B323" s="506" t="s">
        <v>641</v>
      </c>
      <c r="C323" s="541"/>
      <c r="D323" s="542"/>
      <c r="E323" s="518"/>
      <c r="F323" s="541"/>
      <c r="G323" s="542"/>
      <c r="H323" s="518"/>
      <c r="I323" s="541"/>
      <c r="J323" s="542"/>
      <c r="K323" s="518"/>
      <c r="L323" s="541"/>
      <c r="M323" s="542"/>
      <c r="N323" s="518"/>
      <c r="O323" s="541"/>
      <c r="P323" s="542"/>
      <c r="Q323" s="518"/>
      <c r="R323" s="541"/>
      <c r="S323" s="542"/>
      <c r="T323" s="518"/>
      <c r="U323" s="541"/>
      <c r="V323" s="542"/>
      <c r="W323" s="518"/>
      <c r="X323" s="541"/>
      <c r="Y323" s="542"/>
      <c r="Z323" s="518"/>
      <c r="AA323" s="541"/>
      <c r="AB323" s="542"/>
      <c r="AC323" s="518"/>
      <c r="AD323" s="541"/>
      <c r="AE323" s="542"/>
      <c r="AF323" s="518"/>
      <c r="AG323" s="541"/>
      <c r="AH323" s="542"/>
      <c r="AI323" s="518"/>
      <c r="AJ323" s="541"/>
      <c r="AK323" s="542"/>
      <c r="AL323" s="518"/>
    </row>
    <row r="324" spans="1:38" x14ac:dyDescent="0.35">
      <c r="A324" s="471">
        <f t="shared" si="19"/>
        <v>7200</v>
      </c>
      <c r="B324" s="506" t="s">
        <v>642</v>
      </c>
      <c r="C324" s="541"/>
      <c r="D324" s="542"/>
      <c r="E324" s="518">
        <v>600</v>
      </c>
      <c r="F324" s="543"/>
      <c r="G324" s="542"/>
      <c r="H324" s="518">
        <f>E324</f>
        <v>600</v>
      </c>
      <c r="I324" s="543"/>
      <c r="J324" s="542"/>
      <c r="K324" s="518">
        <f>H324</f>
        <v>600</v>
      </c>
      <c r="L324" s="543"/>
      <c r="M324" s="542"/>
      <c r="N324" s="518">
        <f>K324</f>
        <v>600</v>
      </c>
      <c r="O324" s="543"/>
      <c r="P324" s="542"/>
      <c r="Q324" s="518">
        <f>N324</f>
        <v>600</v>
      </c>
      <c r="R324" s="543"/>
      <c r="S324" s="542"/>
      <c r="T324" s="518">
        <f>Q324</f>
        <v>600</v>
      </c>
      <c r="U324" s="543"/>
      <c r="V324" s="542"/>
      <c r="W324" s="518">
        <f>T324</f>
        <v>600</v>
      </c>
      <c r="X324" s="543"/>
      <c r="Y324" s="542"/>
      <c r="Z324" s="518">
        <f>W324</f>
        <v>600</v>
      </c>
      <c r="AA324" s="543"/>
      <c r="AB324" s="542"/>
      <c r="AC324" s="518">
        <f>Z324</f>
        <v>600</v>
      </c>
      <c r="AD324" s="543"/>
      <c r="AE324" s="542"/>
      <c r="AF324" s="518">
        <f>AC324</f>
        <v>600</v>
      </c>
      <c r="AG324" s="543"/>
      <c r="AH324" s="542"/>
      <c r="AI324" s="518">
        <f>AF324</f>
        <v>600</v>
      </c>
      <c r="AJ324" s="543"/>
      <c r="AK324" s="542"/>
      <c r="AL324" s="518">
        <f>AI324</f>
        <v>600</v>
      </c>
    </row>
    <row r="325" spans="1:38" x14ac:dyDescent="0.35">
      <c r="A325" s="471">
        <f t="shared" si="19"/>
        <v>5000</v>
      </c>
      <c r="B325" s="506" t="s">
        <v>643</v>
      </c>
      <c r="C325" s="541"/>
      <c r="D325" s="542"/>
      <c r="E325" s="518">
        <f>(3000+2000)/12</f>
        <v>416.66666666666669</v>
      </c>
      <c r="F325" s="543"/>
      <c r="G325" s="542"/>
      <c r="H325" s="518">
        <f>$E325</f>
        <v>416.66666666666669</v>
      </c>
      <c r="I325" s="543"/>
      <c r="J325" s="542"/>
      <c r="K325" s="518">
        <f>$E325</f>
        <v>416.66666666666669</v>
      </c>
      <c r="L325" s="543"/>
      <c r="M325" s="542"/>
      <c r="N325" s="518">
        <f>$E325</f>
        <v>416.66666666666669</v>
      </c>
      <c r="O325" s="543"/>
      <c r="P325" s="542"/>
      <c r="Q325" s="518">
        <f>$E325</f>
        <v>416.66666666666669</v>
      </c>
      <c r="R325" s="543"/>
      <c r="S325" s="542"/>
      <c r="T325" s="518">
        <f>$E325</f>
        <v>416.66666666666669</v>
      </c>
      <c r="U325" s="543"/>
      <c r="V325" s="542"/>
      <c r="W325" s="518">
        <f>$E325</f>
        <v>416.66666666666669</v>
      </c>
      <c r="X325" s="543"/>
      <c r="Y325" s="542"/>
      <c r="Z325" s="518">
        <f>$E325</f>
        <v>416.66666666666669</v>
      </c>
      <c r="AA325" s="543"/>
      <c r="AB325" s="542"/>
      <c r="AC325" s="518">
        <f>$E325</f>
        <v>416.66666666666669</v>
      </c>
      <c r="AD325" s="543"/>
      <c r="AE325" s="542"/>
      <c r="AF325" s="518">
        <f>$E325</f>
        <v>416.66666666666669</v>
      </c>
      <c r="AG325" s="543"/>
      <c r="AH325" s="542"/>
      <c r="AI325" s="518">
        <f>$E325</f>
        <v>416.66666666666669</v>
      </c>
      <c r="AJ325" s="543"/>
      <c r="AK325" s="542"/>
      <c r="AL325" s="518">
        <f>$E325</f>
        <v>416.66666666666669</v>
      </c>
    </row>
    <row r="326" spans="1:38" x14ac:dyDescent="0.35">
      <c r="A326" s="471">
        <f t="shared" si="19"/>
        <v>6000</v>
      </c>
      <c r="B326" s="506" t="s">
        <v>644</v>
      </c>
      <c r="C326" s="541"/>
      <c r="D326" s="542"/>
      <c r="E326" s="518">
        <v>500</v>
      </c>
      <c r="F326" s="541"/>
      <c r="G326" s="542"/>
      <c r="H326" s="518">
        <v>500</v>
      </c>
      <c r="I326" s="541"/>
      <c r="J326" s="542"/>
      <c r="K326" s="518">
        <v>500</v>
      </c>
      <c r="L326" s="541"/>
      <c r="M326" s="542"/>
      <c r="N326" s="518">
        <v>500</v>
      </c>
      <c r="O326" s="541"/>
      <c r="P326" s="542"/>
      <c r="Q326" s="518">
        <v>500</v>
      </c>
      <c r="R326" s="541"/>
      <c r="S326" s="542"/>
      <c r="T326" s="518">
        <v>500</v>
      </c>
      <c r="U326" s="541"/>
      <c r="V326" s="542"/>
      <c r="W326" s="518">
        <v>500</v>
      </c>
      <c r="X326" s="541"/>
      <c r="Y326" s="542"/>
      <c r="Z326" s="518">
        <v>500</v>
      </c>
      <c r="AA326" s="541"/>
      <c r="AB326" s="542"/>
      <c r="AC326" s="518">
        <v>500</v>
      </c>
      <c r="AD326" s="541"/>
      <c r="AE326" s="542"/>
      <c r="AF326" s="518">
        <v>500</v>
      </c>
      <c r="AG326" s="541"/>
      <c r="AH326" s="542"/>
      <c r="AI326" s="518">
        <v>500</v>
      </c>
      <c r="AJ326" s="541"/>
      <c r="AK326" s="542"/>
      <c r="AL326" s="518">
        <v>500</v>
      </c>
    </row>
    <row r="327" spans="1:38" x14ac:dyDescent="0.35">
      <c r="A327" s="471"/>
      <c r="B327" s="506" t="s">
        <v>658</v>
      </c>
      <c r="C327" s="541"/>
      <c r="D327" s="542"/>
      <c r="E327" s="518">
        <v>750</v>
      </c>
      <c r="F327" s="543"/>
      <c r="G327" s="542"/>
      <c r="H327" s="518">
        <f>E327</f>
        <v>750</v>
      </c>
      <c r="I327" s="543"/>
      <c r="J327" s="542"/>
      <c r="K327" s="518">
        <f>H327</f>
        <v>750</v>
      </c>
      <c r="L327" s="543"/>
      <c r="M327" s="542"/>
      <c r="N327" s="518">
        <f>K327</f>
        <v>750</v>
      </c>
      <c r="O327" s="543"/>
      <c r="P327" s="542"/>
      <c r="Q327" s="518">
        <f>N327</f>
        <v>750</v>
      </c>
      <c r="R327" s="543"/>
      <c r="S327" s="542"/>
      <c r="T327" s="518">
        <f>Q327</f>
        <v>750</v>
      </c>
      <c r="U327" s="543"/>
      <c r="V327" s="542"/>
      <c r="W327" s="518">
        <f>T327</f>
        <v>750</v>
      </c>
      <c r="X327" s="543"/>
      <c r="Y327" s="542"/>
      <c r="Z327" s="518">
        <f>W327</f>
        <v>750</v>
      </c>
      <c r="AA327" s="543"/>
      <c r="AB327" s="542"/>
      <c r="AC327" s="518">
        <f>Z327</f>
        <v>750</v>
      </c>
      <c r="AD327" s="543"/>
      <c r="AE327" s="542"/>
      <c r="AF327" s="518">
        <f>AC327</f>
        <v>750</v>
      </c>
      <c r="AG327" s="543"/>
      <c r="AH327" s="542"/>
      <c r="AI327" s="518">
        <f>AF327</f>
        <v>750</v>
      </c>
      <c r="AJ327" s="543"/>
      <c r="AK327" s="542"/>
      <c r="AL327" s="518">
        <f>AI327</f>
        <v>750</v>
      </c>
    </row>
    <row r="328" spans="1:38" x14ac:dyDescent="0.35">
      <c r="A328" s="471">
        <f t="shared" ref="A328:A336" si="20">SUM(E328,H328,K328,N328,Q328,T328,W328,Z328,AC328,AF328,AI328,AL328)</f>
        <v>3050</v>
      </c>
      <c r="B328" s="506" t="s">
        <v>657</v>
      </c>
      <c r="C328" s="541"/>
      <c r="D328" s="542"/>
      <c r="E328" s="518">
        <f>1000+1000+250</f>
        <v>2250</v>
      </c>
      <c r="F328" s="541"/>
      <c r="G328" s="542"/>
      <c r="H328" s="518"/>
      <c r="I328" s="541"/>
      <c r="J328" s="542"/>
      <c r="K328" s="518">
        <v>200</v>
      </c>
      <c r="L328" s="541"/>
      <c r="M328" s="542"/>
      <c r="N328" s="518"/>
      <c r="O328" s="541"/>
      <c r="P328" s="542"/>
      <c r="Q328" s="518"/>
      <c r="R328" s="541"/>
      <c r="S328" s="542"/>
      <c r="T328" s="518">
        <v>200</v>
      </c>
      <c r="U328" s="541"/>
      <c r="V328" s="542"/>
      <c r="W328" s="518"/>
      <c r="X328" s="541"/>
      <c r="Y328" s="542"/>
      <c r="Z328" s="518"/>
      <c r="AA328" s="541"/>
      <c r="AB328" s="542"/>
      <c r="AC328" s="518">
        <v>200</v>
      </c>
      <c r="AD328" s="541"/>
      <c r="AE328" s="542"/>
      <c r="AF328" s="518"/>
      <c r="AG328" s="541"/>
      <c r="AH328" s="542"/>
      <c r="AI328" s="518"/>
      <c r="AJ328" s="541"/>
      <c r="AK328" s="542"/>
      <c r="AL328" s="518">
        <v>200</v>
      </c>
    </row>
    <row r="329" spans="1:38" x14ac:dyDescent="0.35">
      <c r="A329" s="471">
        <f t="shared" si="20"/>
        <v>1200</v>
      </c>
      <c r="B329" s="506" t="s">
        <v>645</v>
      </c>
      <c r="C329" s="541"/>
      <c r="D329" s="542"/>
      <c r="E329" s="518">
        <v>100</v>
      </c>
      <c r="F329" s="541"/>
      <c r="G329" s="542"/>
      <c r="H329" s="518">
        <v>100</v>
      </c>
      <c r="I329" s="541"/>
      <c r="J329" s="542"/>
      <c r="K329" s="518">
        <v>100</v>
      </c>
      <c r="L329" s="541"/>
      <c r="M329" s="542"/>
      <c r="N329" s="518">
        <v>100</v>
      </c>
      <c r="O329" s="541"/>
      <c r="P329" s="542"/>
      <c r="Q329" s="518">
        <v>100</v>
      </c>
      <c r="R329" s="541"/>
      <c r="S329" s="542"/>
      <c r="T329" s="518">
        <v>100</v>
      </c>
      <c r="U329" s="541"/>
      <c r="V329" s="542"/>
      <c r="W329" s="518">
        <v>100</v>
      </c>
      <c r="X329" s="541"/>
      <c r="Y329" s="542"/>
      <c r="Z329" s="518">
        <v>100</v>
      </c>
      <c r="AA329" s="541"/>
      <c r="AB329" s="542"/>
      <c r="AC329" s="518">
        <v>100</v>
      </c>
      <c r="AD329" s="541"/>
      <c r="AE329" s="542"/>
      <c r="AF329" s="518">
        <v>100</v>
      </c>
      <c r="AG329" s="541"/>
      <c r="AH329" s="542"/>
      <c r="AI329" s="518">
        <v>100</v>
      </c>
      <c r="AJ329" s="541"/>
      <c r="AK329" s="542"/>
      <c r="AL329" s="518">
        <v>100</v>
      </c>
    </row>
    <row r="330" spans="1:38" x14ac:dyDescent="0.35">
      <c r="A330" s="471">
        <f t="shared" si="20"/>
        <v>0</v>
      </c>
      <c r="B330" s="506" t="s">
        <v>646</v>
      </c>
      <c r="C330" s="541"/>
      <c r="D330" s="542"/>
      <c r="E330" s="518"/>
      <c r="F330" s="541"/>
      <c r="G330" s="542"/>
      <c r="H330" s="518"/>
      <c r="I330" s="541"/>
      <c r="J330" s="542"/>
      <c r="K330" s="518"/>
      <c r="L330" s="541"/>
      <c r="M330" s="542"/>
      <c r="N330" s="518"/>
      <c r="O330" s="541"/>
      <c r="P330" s="542"/>
      <c r="Q330" s="518"/>
      <c r="R330" s="541"/>
      <c r="S330" s="542"/>
      <c r="T330" s="518"/>
      <c r="U330" s="541"/>
      <c r="V330" s="542"/>
      <c r="W330" s="518"/>
      <c r="X330" s="541"/>
      <c r="Y330" s="542"/>
      <c r="Z330" s="518"/>
      <c r="AA330" s="541"/>
      <c r="AB330" s="542"/>
      <c r="AC330" s="518"/>
      <c r="AD330" s="541"/>
      <c r="AE330" s="542"/>
      <c r="AF330" s="518"/>
      <c r="AG330" s="541"/>
      <c r="AH330" s="542"/>
      <c r="AI330" s="518"/>
      <c r="AJ330" s="541"/>
      <c r="AK330" s="542"/>
      <c r="AL330" s="518"/>
    </row>
    <row r="331" spans="1:38" x14ac:dyDescent="0.35">
      <c r="A331" s="471">
        <f t="shared" si="20"/>
        <v>0</v>
      </c>
      <c r="B331" s="506" t="s">
        <v>647</v>
      </c>
      <c r="C331" s="541"/>
      <c r="D331" s="542"/>
      <c r="E331" s="518"/>
      <c r="F331" s="541"/>
      <c r="G331" s="542"/>
      <c r="H331" s="518"/>
      <c r="I331" s="541"/>
      <c r="J331" s="542"/>
      <c r="K331" s="518"/>
      <c r="L331" s="541"/>
      <c r="M331" s="542"/>
      <c r="N331" s="518"/>
      <c r="O331" s="541"/>
      <c r="P331" s="542"/>
      <c r="Q331" s="518"/>
      <c r="R331" s="541"/>
      <c r="S331" s="542"/>
      <c r="T331" s="518"/>
      <c r="U331" s="541"/>
      <c r="V331" s="542"/>
      <c r="W331" s="518"/>
      <c r="X331" s="541"/>
      <c r="Y331" s="542"/>
      <c r="Z331" s="518"/>
      <c r="AA331" s="541"/>
      <c r="AB331" s="542"/>
      <c r="AC331" s="518"/>
      <c r="AD331" s="541"/>
      <c r="AE331" s="542"/>
      <c r="AF331" s="518"/>
      <c r="AG331" s="541"/>
      <c r="AH331" s="542"/>
      <c r="AI331" s="518"/>
      <c r="AJ331" s="541"/>
      <c r="AK331" s="542"/>
      <c r="AL331" s="518"/>
    </row>
    <row r="332" spans="1:38" x14ac:dyDescent="0.35">
      <c r="A332" s="471">
        <f t="shared" si="20"/>
        <v>2400</v>
      </c>
      <c r="B332" s="506" t="s">
        <v>648</v>
      </c>
      <c r="C332" s="541"/>
      <c r="D332" s="542"/>
      <c r="E332" s="518">
        <v>200</v>
      </c>
      <c r="F332" s="541"/>
      <c r="G332" s="542"/>
      <c r="H332" s="518">
        <v>200</v>
      </c>
      <c r="I332" s="541"/>
      <c r="J332" s="542"/>
      <c r="K332" s="518">
        <v>200</v>
      </c>
      <c r="L332" s="541"/>
      <c r="M332" s="542"/>
      <c r="N332" s="518">
        <v>200</v>
      </c>
      <c r="O332" s="541"/>
      <c r="P332" s="542"/>
      <c r="Q332" s="518">
        <v>200</v>
      </c>
      <c r="R332" s="541"/>
      <c r="S332" s="542"/>
      <c r="T332" s="518">
        <v>200</v>
      </c>
      <c r="U332" s="541"/>
      <c r="V332" s="542"/>
      <c r="W332" s="518">
        <v>200</v>
      </c>
      <c r="X332" s="541"/>
      <c r="Y332" s="542"/>
      <c r="Z332" s="518">
        <v>200</v>
      </c>
      <c r="AA332" s="541"/>
      <c r="AB332" s="542"/>
      <c r="AC332" s="518">
        <v>200</v>
      </c>
      <c r="AD332" s="541"/>
      <c r="AE332" s="542"/>
      <c r="AF332" s="518">
        <v>200</v>
      </c>
      <c r="AG332" s="541"/>
      <c r="AH332" s="542"/>
      <c r="AI332" s="518">
        <v>200</v>
      </c>
      <c r="AJ332" s="541"/>
      <c r="AK332" s="542"/>
      <c r="AL332" s="518">
        <v>200</v>
      </c>
    </row>
    <row r="333" spans="1:38" x14ac:dyDescent="0.35">
      <c r="A333" s="471">
        <f t="shared" si="20"/>
        <v>3600</v>
      </c>
      <c r="B333" s="506" t="s">
        <v>649</v>
      </c>
      <c r="C333" s="541"/>
      <c r="D333" s="542"/>
      <c r="E333" s="518">
        <v>300</v>
      </c>
      <c r="F333" s="541"/>
      <c r="G333" s="542"/>
      <c r="H333" s="518">
        <v>300</v>
      </c>
      <c r="I333" s="541"/>
      <c r="J333" s="542"/>
      <c r="K333" s="518">
        <v>300</v>
      </c>
      <c r="L333" s="541"/>
      <c r="M333" s="542"/>
      <c r="N333" s="518">
        <v>300</v>
      </c>
      <c r="O333" s="541"/>
      <c r="P333" s="542"/>
      <c r="Q333" s="518">
        <v>300</v>
      </c>
      <c r="R333" s="541"/>
      <c r="S333" s="542"/>
      <c r="T333" s="518">
        <v>300</v>
      </c>
      <c r="U333" s="541"/>
      <c r="V333" s="542"/>
      <c r="W333" s="518">
        <v>300</v>
      </c>
      <c r="X333" s="541"/>
      <c r="Y333" s="542"/>
      <c r="Z333" s="518">
        <v>300</v>
      </c>
      <c r="AA333" s="541"/>
      <c r="AB333" s="542"/>
      <c r="AC333" s="518">
        <v>300</v>
      </c>
      <c r="AD333" s="541"/>
      <c r="AE333" s="542"/>
      <c r="AF333" s="518">
        <v>300</v>
      </c>
      <c r="AG333" s="541"/>
      <c r="AH333" s="542"/>
      <c r="AI333" s="518">
        <v>300</v>
      </c>
      <c r="AJ333" s="541"/>
      <c r="AK333" s="542"/>
      <c r="AL333" s="518">
        <v>300</v>
      </c>
    </row>
    <row r="334" spans="1:38" x14ac:dyDescent="0.35">
      <c r="A334" s="471">
        <f t="shared" si="20"/>
        <v>0</v>
      </c>
      <c r="B334" s="506" t="s">
        <v>650</v>
      </c>
      <c r="C334" s="541"/>
      <c r="D334" s="542"/>
      <c r="E334" s="518"/>
      <c r="F334" s="541"/>
      <c r="G334" s="542"/>
      <c r="H334" s="518"/>
      <c r="I334" s="541"/>
      <c r="J334" s="542"/>
      <c r="K334" s="518"/>
      <c r="L334" s="541"/>
      <c r="M334" s="542"/>
      <c r="N334" s="518"/>
      <c r="O334" s="541"/>
      <c r="P334" s="542"/>
      <c r="Q334" s="518"/>
      <c r="R334" s="541"/>
      <c r="S334" s="542"/>
      <c r="T334" s="518"/>
      <c r="U334" s="541"/>
      <c r="V334" s="542"/>
      <c r="W334" s="518"/>
      <c r="X334" s="541"/>
      <c r="Y334" s="542"/>
      <c r="Z334" s="518"/>
      <c r="AA334" s="541"/>
      <c r="AB334" s="542"/>
      <c r="AC334" s="518"/>
      <c r="AD334" s="541"/>
      <c r="AE334" s="542"/>
      <c r="AF334" s="518"/>
      <c r="AG334" s="541"/>
      <c r="AH334" s="542"/>
      <c r="AI334" s="518"/>
      <c r="AJ334" s="541"/>
      <c r="AK334" s="542"/>
      <c r="AL334" s="518"/>
    </row>
    <row r="335" spans="1:38" x14ac:dyDescent="0.35">
      <c r="A335" s="471">
        <f t="shared" si="20"/>
        <v>19380</v>
      </c>
      <c r="B335" s="506" t="s">
        <v>651</v>
      </c>
      <c r="C335" s="541"/>
      <c r="D335" s="542"/>
      <c r="E335" s="518">
        <f>(150+250)+(1350*0.9)</f>
        <v>1615</v>
      </c>
      <c r="F335" s="543"/>
      <c r="G335" s="542"/>
      <c r="H335" s="518">
        <f>E335</f>
        <v>1615</v>
      </c>
      <c r="I335" s="543"/>
      <c r="J335" s="542"/>
      <c r="K335" s="518">
        <f>H335</f>
        <v>1615</v>
      </c>
      <c r="L335" s="543"/>
      <c r="M335" s="542"/>
      <c r="N335" s="518">
        <f>K335</f>
        <v>1615</v>
      </c>
      <c r="O335" s="543"/>
      <c r="P335" s="542"/>
      <c r="Q335" s="518">
        <f>N335</f>
        <v>1615</v>
      </c>
      <c r="R335" s="543"/>
      <c r="S335" s="542"/>
      <c r="T335" s="518">
        <f>Q335</f>
        <v>1615</v>
      </c>
      <c r="U335" s="543"/>
      <c r="V335" s="542"/>
      <c r="W335" s="518">
        <f>T335</f>
        <v>1615</v>
      </c>
      <c r="X335" s="543"/>
      <c r="Y335" s="542"/>
      <c r="Z335" s="518">
        <f>W335</f>
        <v>1615</v>
      </c>
      <c r="AA335" s="543"/>
      <c r="AB335" s="542"/>
      <c r="AC335" s="518">
        <f>Z335</f>
        <v>1615</v>
      </c>
      <c r="AD335" s="543"/>
      <c r="AE335" s="542"/>
      <c r="AF335" s="518">
        <f>AC335</f>
        <v>1615</v>
      </c>
      <c r="AG335" s="543"/>
      <c r="AH335" s="542"/>
      <c r="AI335" s="518">
        <f>AF335</f>
        <v>1615</v>
      </c>
      <c r="AJ335" s="543"/>
      <c r="AK335" s="542"/>
      <c r="AL335" s="518">
        <f>AI335</f>
        <v>1615</v>
      </c>
    </row>
    <row r="336" spans="1:38" x14ac:dyDescent="0.35">
      <c r="A336" s="471">
        <f t="shared" si="20"/>
        <v>6000</v>
      </c>
      <c r="B336" s="506" t="s">
        <v>652</v>
      </c>
      <c r="C336" s="541"/>
      <c r="D336" s="542"/>
      <c r="E336" s="518">
        <v>500</v>
      </c>
      <c r="F336" s="541"/>
      <c r="G336" s="542"/>
      <c r="H336" s="518">
        <v>500</v>
      </c>
      <c r="I336" s="541"/>
      <c r="J336" s="542"/>
      <c r="K336" s="518">
        <v>500</v>
      </c>
      <c r="L336" s="541"/>
      <c r="M336" s="542"/>
      <c r="N336" s="518">
        <v>500</v>
      </c>
      <c r="O336" s="541"/>
      <c r="P336" s="542"/>
      <c r="Q336" s="518">
        <v>500</v>
      </c>
      <c r="R336" s="541"/>
      <c r="S336" s="542"/>
      <c r="T336" s="518">
        <v>500</v>
      </c>
      <c r="U336" s="541"/>
      <c r="V336" s="542"/>
      <c r="W336" s="518">
        <v>500</v>
      </c>
      <c r="X336" s="541"/>
      <c r="Y336" s="542"/>
      <c r="Z336" s="518">
        <v>500</v>
      </c>
      <c r="AA336" s="541"/>
      <c r="AB336" s="542"/>
      <c r="AC336" s="518">
        <v>500</v>
      </c>
      <c r="AD336" s="541"/>
      <c r="AE336" s="542"/>
      <c r="AF336" s="518">
        <v>500</v>
      </c>
      <c r="AG336" s="541"/>
      <c r="AH336" s="542"/>
      <c r="AI336" s="518">
        <v>500</v>
      </c>
      <c r="AJ336" s="541"/>
      <c r="AK336" s="542"/>
      <c r="AL336" s="518">
        <v>500</v>
      </c>
    </row>
    <row r="337" spans="1:41" x14ac:dyDescent="0.35">
      <c r="A337" s="471"/>
      <c r="B337" s="506" t="s">
        <v>655</v>
      </c>
      <c r="C337" s="541"/>
      <c r="D337" s="542"/>
      <c r="E337" s="518"/>
      <c r="F337" s="541"/>
      <c r="G337" s="542"/>
      <c r="H337" s="518"/>
      <c r="I337" s="541"/>
      <c r="J337" s="542"/>
      <c r="K337" s="518"/>
      <c r="L337" s="541"/>
      <c r="M337" s="542"/>
      <c r="N337" s="518"/>
      <c r="O337" s="541"/>
      <c r="P337" s="542"/>
      <c r="Q337" s="518"/>
      <c r="R337" s="541"/>
      <c r="S337" s="542"/>
      <c r="T337" s="518"/>
      <c r="U337" s="541"/>
      <c r="V337" s="542"/>
      <c r="W337" s="518"/>
      <c r="X337" s="541"/>
      <c r="Y337" s="542"/>
      <c r="Z337" s="518"/>
      <c r="AA337" s="541"/>
      <c r="AB337" s="542"/>
      <c r="AC337" s="518"/>
      <c r="AD337" s="541"/>
      <c r="AE337" s="542"/>
      <c r="AF337" s="518"/>
      <c r="AG337" s="541"/>
      <c r="AH337" s="542"/>
      <c r="AI337" s="518"/>
      <c r="AJ337" s="541"/>
      <c r="AK337" s="542"/>
      <c r="AL337" s="518"/>
    </row>
    <row r="338" spans="1:41" x14ac:dyDescent="0.35">
      <c r="A338" s="471"/>
      <c r="B338" s="506" t="s">
        <v>656</v>
      </c>
      <c r="C338" s="541"/>
      <c r="D338" s="542"/>
      <c r="E338" s="518"/>
      <c r="F338" s="541"/>
      <c r="G338" s="542"/>
      <c r="H338" s="518"/>
      <c r="I338" s="541"/>
      <c r="J338" s="542"/>
      <c r="K338" s="518"/>
      <c r="L338" s="541"/>
      <c r="M338" s="542"/>
      <c r="N338" s="518"/>
      <c r="O338" s="541"/>
      <c r="P338" s="542"/>
      <c r="Q338" s="518"/>
      <c r="R338" s="541"/>
      <c r="S338" s="542"/>
      <c r="T338" s="518"/>
      <c r="U338" s="541"/>
      <c r="V338" s="542"/>
      <c r="W338" s="518"/>
      <c r="X338" s="541"/>
      <c r="Y338" s="542"/>
      <c r="Z338" s="518"/>
      <c r="AA338" s="541"/>
      <c r="AB338" s="542"/>
      <c r="AC338" s="518"/>
      <c r="AD338" s="541"/>
      <c r="AE338" s="542"/>
      <c r="AF338" s="518"/>
      <c r="AG338" s="541"/>
      <c r="AH338" s="542"/>
      <c r="AI338" s="518"/>
      <c r="AJ338" s="541"/>
      <c r="AK338" s="542"/>
      <c r="AL338" s="518"/>
    </row>
    <row r="339" spans="1:41" x14ac:dyDescent="0.35">
      <c r="A339" s="469">
        <f>SUM(E339,H339,K339,N339,Q339,T339,W339,Z339,AC339,AF339,AI339,AL339)</f>
        <v>65229.999999999985</v>
      </c>
      <c r="B339" s="509" t="s">
        <v>716</v>
      </c>
      <c r="C339" s="539"/>
      <c r="D339" s="540"/>
      <c r="E339" s="510">
        <f>SUM(E321:E338)</f>
        <v>7431.666666666667</v>
      </c>
      <c r="F339" s="539"/>
      <c r="G339" s="540"/>
      <c r="H339" s="510">
        <f>SUM(H321:H338)</f>
        <v>5181.666666666667</v>
      </c>
      <c r="I339" s="539"/>
      <c r="J339" s="540"/>
      <c r="K339" s="510">
        <f>SUM(K321:K338)</f>
        <v>5381.666666666667</v>
      </c>
      <c r="L339" s="539"/>
      <c r="M339" s="540"/>
      <c r="N339" s="510">
        <f>SUM(N321:N338)</f>
        <v>5181.666666666667</v>
      </c>
      <c r="O339" s="539"/>
      <c r="P339" s="540"/>
      <c r="Q339" s="510">
        <f>SUM(Q321:Q338)</f>
        <v>5181.666666666667</v>
      </c>
      <c r="R339" s="539"/>
      <c r="S339" s="540"/>
      <c r="T339" s="510">
        <f>SUM(T321:T338)</f>
        <v>5381.666666666667</v>
      </c>
      <c r="U339" s="539"/>
      <c r="V339" s="540"/>
      <c r="W339" s="510">
        <f>SUM(W321:W338)</f>
        <v>5181.666666666667</v>
      </c>
      <c r="X339" s="539"/>
      <c r="Y339" s="540"/>
      <c r="Z339" s="510">
        <f>SUM(Z321:Z338)</f>
        <v>5181.666666666667</v>
      </c>
      <c r="AA339" s="539"/>
      <c r="AB339" s="540"/>
      <c r="AC339" s="510">
        <f>SUM(AC321:AC338)</f>
        <v>5381.666666666667</v>
      </c>
      <c r="AD339" s="539"/>
      <c r="AE339" s="540"/>
      <c r="AF339" s="510">
        <f>SUM(AF321:AF338)</f>
        <v>5181.666666666667</v>
      </c>
      <c r="AG339" s="539"/>
      <c r="AH339" s="540"/>
      <c r="AI339" s="510">
        <f>SUM(AI321:AI338)</f>
        <v>5181.666666666667</v>
      </c>
      <c r="AJ339" s="539"/>
      <c r="AK339" s="540"/>
      <c r="AL339" s="510">
        <f>SUM(AL321:AL338)</f>
        <v>5381.666666666667</v>
      </c>
    </row>
    <row r="340" spans="1:41" x14ac:dyDescent="0.35">
      <c r="A340" s="134"/>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529"/>
    </row>
    <row r="341" spans="1:41" x14ac:dyDescent="0.35">
      <c r="A341" s="469">
        <f>SUM(E341,H341,K341,N341,Q341,T341,W341,Z341,AC341,AF341,AI341,AL341)</f>
        <v>60605.903999999988</v>
      </c>
      <c r="B341" s="509" t="s">
        <v>674</v>
      </c>
      <c r="C341" s="539"/>
      <c r="D341" s="540"/>
      <c r="E341" s="510">
        <f>E308</f>
        <v>4316.7440000000006</v>
      </c>
      <c r="F341" s="539"/>
      <c r="G341" s="540"/>
      <c r="H341" s="510">
        <f>H308</f>
        <v>4496.7440000000006</v>
      </c>
      <c r="I341" s="539"/>
      <c r="J341" s="540"/>
      <c r="K341" s="510">
        <f>K308</f>
        <v>4496.7440000000006</v>
      </c>
      <c r="L341" s="539"/>
      <c r="M341" s="540"/>
      <c r="N341" s="510">
        <f>N308</f>
        <v>5235.1973333333335</v>
      </c>
      <c r="O341" s="539"/>
      <c r="P341" s="540"/>
      <c r="Q341" s="510">
        <f>Q308</f>
        <v>5439.1973333333335</v>
      </c>
      <c r="R341" s="539"/>
      <c r="S341" s="540"/>
      <c r="T341" s="510">
        <f>T308</f>
        <v>7826.5053333333326</v>
      </c>
      <c r="U341" s="539"/>
      <c r="V341" s="540"/>
      <c r="W341" s="510">
        <f>W308</f>
        <v>7623.0519999999997</v>
      </c>
      <c r="X341" s="539"/>
      <c r="Y341" s="540"/>
      <c r="Z341" s="510">
        <f>Z308</f>
        <v>4704.7440000000006</v>
      </c>
      <c r="AA341" s="539"/>
      <c r="AB341" s="540"/>
      <c r="AC341" s="510">
        <f>AC308</f>
        <v>4416.7440000000006</v>
      </c>
      <c r="AD341" s="539"/>
      <c r="AE341" s="540"/>
      <c r="AF341" s="510">
        <f>AF308</f>
        <v>4016.7440000000001</v>
      </c>
      <c r="AG341" s="539"/>
      <c r="AH341" s="540"/>
      <c r="AI341" s="510">
        <f>AI308</f>
        <v>4016.7440000000001</v>
      </c>
      <c r="AJ341" s="539"/>
      <c r="AK341" s="540"/>
      <c r="AL341" s="510">
        <f>AL308</f>
        <v>4016.7440000000001</v>
      </c>
    </row>
    <row r="342" spans="1:41" x14ac:dyDescent="0.35">
      <c r="A342" s="469">
        <f>SUM(E342,H342,K342,N342,Q342,T342,W342,Z342,AC342,AF342,AI342,AL342)</f>
        <v>163846.96000000005</v>
      </c>
      <c r="B342" s="509" t="s">
        <v>675</v>
      </c>
      <c r="C342" s="539"/>
      <c r="D342" s="540"/>
      <c r="E342" s="510">
        <f>E318+E339</f>
        <v>15649.746666666666</v>
      </c>
      <c r="F342" s="539"/>
      <c r="G342" s="540"/>
      <c r="H342" s="510">
        <f>H318+H339</f>
        <v>13399.746666666666</v>
      </c>
      <c r="I342" s="539"/>
      <c r="J342" s="540"/>
      <c r="K342" s="510">
        <f>K318+K339</f>
        <v>13599.746666666666</v>
      </c>
      <c r="L342" s="539"/>
      <c r="M342" s="540"/>
      <c r="N342" s="510">
        <f>N318+N339</f>
        <v>13399.746666666666</v>
      </c>
      <c r="O342" s="539"/>
      <c r="P342" s="540"/>
      <c r="Q342" s="510">
        <f>Q318+Q339</f>
        <v>13399.746666666666</v>
      </c>
      <c r="R342" s="539"/>
      <c r="S342" s="540"/>
      <c r="T342" s="510">
        <f>T318+T339</f>
        <v>13599.746666666666</v>
      </c>
      <c r="U342" s="539"/>
      <c r="V342" s="540"/>
      <c r="W342" s="510">
        <f>W318+W339</f>
        <v>13399.746666666666</v>
      </c>
      <c r="X342" s="539"/>
      <c r="Y342" s="540"/>
      <c r="Z342" s="510">
        <f>Z318+Z339</f>
        <v>13399.746666666666</v>
      </c>
      <c r="AA342" s="539"/>
      <c r="AB342" s="540"/>
      <c r="AC342" s="510">
        <f>AC318+AC339</f>
        <v>13599.746666666666</v>
      </c>
      <c r="AD342" s="539"/>
      <c r="AE342" s="540"/>
      <c r="AF342" s="510">
        <f>AF318+AF339</f>
        <v>13399.746666666666</v>
      </c>
      <c r="AG342" s="539"/>
      <c r="AH342" s="540"/>
      <c r="AI342" s="510">
        <f>AI318+AI339</f>
        <v>13399.746666666666</v>
      </c>
      <c r="AJ342" s="539"/>
      <c r="AK342" s="540"/>
      <c r="AL342" s="510">
        <f>AL318+AL339</f>
        <v>13599.746666666666</v>
      </c>
    </row>
    <row r="343" spans="1:41" x14ac:dyDescent="0.35">
      <c r="A343" s="469">
        <f>SUM(E343,H343,K343,N343,Q343,T343,W343,Z343,AC343,AF343,AI343,AL343)</f>
        <v>-103241.056</v>
      </c>
      <c r="B343" s="509" t="s">
        <v>676</v>
      </c>
      <c r="C343" s="539"/>
      <c r="D343" s="540"/>
      <c r="E343" s="510">
        <f>E341-E342</f>
        <v>-11333.002666666665</v>
      </c>
      <c r="F343" s="539"/>
      <c r="G343" s="540"/>
      <c r="H343" s="510">
        <f>H341-H342</f>
        <v>-8903.0026666666654</v>
      </c>
      <c r="I343" s="539"/>
      <c r="J343" s="540"/>
      <c r="K343" s="510">
        <f>K341-K342</f>
        <v>-9103.0026666666654</v>
      </c>
      <c r="L343" s="539"/>
      <c r="M343" s="540"/>
      <c r="N343" s="510">
        <f>N341-N342</f>
        <v>-8164.5493333333325</v>
      </c>
      <c r="O343" s="539"/>
      <c r="P343" s="540"/>
      <c r="Q343" s="510">
        <f>Q341-Q342</f>
        <v>-7960.5493333333325</v>
      </c>
      <c r="R343" s="539"/>
      <c r="S343" s="540"/>
      <c r="T343" s="510">
        <f>T341-T342</f>
        <v>-5773.2413333333334</v>
      </c>
      <c r="U343" s="539"/>
      <c r="V343" s="540"/>
      <c r="W343" s="510">
        <f>W341-W342</f>
        <v>-5776.6946666666663</v>
      </c>
      <c r="X343" s="539"/>
      <c r="Y343" s="540"/>
      <c r="Z343" s="510">
        <f>Z341-Z342</f>
        <v>-8695.0026666666654</v>
      </c>
      <c r="AA343" s="539"/>
      <c r="AB343" s="540"/>
      <c r="AC343" s="510">
        <f>AC341-AC342</f>
        <v>-9183.0026666666654</v>
      </c>
      <c r="AD343" s="539"/>
      <c r="AE343" s="540"/>
      <c r="AF343" s="510">
        <f>AF341-AF342</f>
        <v>-9383.0026666666654</v>
      </c>
      <c r="AG343" s="539"/>
      <c r="AH343" s="540"/>
      <c r="AI343" s="510">
        <f>AI341-AI342</f>
        <v>-9383.0026666666654</v>
      </c>
      <c r="AJ343" s="539"/>
      <c r="AK343" s="540"/>
      <c r="AL343" s="510">
        <f>AL341-AL342</f>
        <v>-9583.0026666666654</v>
      </c>
    </row>
    <row r="345" spans="1:41" x14ac:dyDescent="0.35">
      <c r="A345" s="537" t="s">
        <v>527</v>
      </c>
      <c r="B345" s="537"/>
      <c r="C345" s="537"/>
      <c r="D345" s="537"/>
      <c r="E345" s="537"/>
      <c r="F345" s="537"/>
      <c r="G345" s="537"/>
      <c r="H345" s="537"/>
      <c r="I345" s="537"/>
      <c r="J345" s="537"/>
      <c r="K345" s="537"/>
      <c r="L345" s="537"/>
      <c r="M345" s="537"/>
      <c r="N345" s="537"/>
      <c r="O345" s="537"/>
      <c r="P345" s="537"/>
      <c r="Q345" s="537"/>
      <c r="R345" s="537"/>
      <c r="S345" s="537"/>
      <c r="T345" s="537"/>
      <c r="U345" s="537"/>
      <c r="V345" s="537"/>
      <c r="W345" s="537"/>
      <c r="X345" s="537"/>
      <c r="Y345" s="537"/>
      <c r="Z345" s="537"/>
      <c r="AA345" s="537"/>
      <c r="AB345" s="537"/>
      <c r="AC345" s="537"/>
      <c r="AD345" s="537"/>
      <c r="AE345" s="537"/>
      <c r="AF345" s="537"/>
      <c r="AG345" s="537"/>
      <c r="AH345" s="537"/>
      <c r="AI345" s="537"/>
      <c r="AJ345" s="537"/>
      <c r="AK345" s="537"/>
      <c r="AL345" s="538"/>
    </row>
    <row r="346" spans="1:41" x14ac:dyDescent="0.35">
      <c r="C346" s="462"/>
      <c r="D346" s="463" t="s">
        <v>510</v>
      </c>
      <c r="E346" s="464" t="s">
        <v>591</v>
      </c>
      <c r="F346" s="462"/>
      <c r="G346" s="463" t="s">
        <v>510</v>
      </c>
      <c r="H346" s="464" t="s">
        <v>592</v>
      </c>
      <c r="I346" s="462"/>
      <c r="J346" s="463" t="s">
        <v>510</v>
      </c>
      <c r="K346" s="464" t="s">
        <v>593</v>
      </c>
      <c r="L346" s="462"/>
      <c r="M346" s="463" t="s">
        <v>510</v>
      </c>
      <c r="N346" s="464" t="s">
        <v>594</v>
      </c>
      <c r="O346" s="462"/>
      <c r="P346" s="463" t="s">
        <v>510</v>
      </c>
      <c r="Q346" s="464" t="s">
        <v>595</v>
      </c>
      <c r="R346" s="462"/>
      <c r="S346" s="463" t="s">
        <v>510</v>
      </c>
      <c r="T346" s="464" t="s">
        <v>596</v>
      </c>
      <c r="U346" s="462"/>
      <c r="V346" s="463" t="s">
        <v>510</v>
      </c>
      <c r="W346" s="464" t="s">
        <v>597</v>
      </c>
      <c r="X346" s="462"/>
      <c r="Y346" s="463" t="s">
        <v>510</v>
      </c>
      <c r="Z346" s="464" t="s">
        <v>598</v>
      </c>
      <c r="AA346" s="462"/>
      <c r="AB346" s="463" t="s">
        <v>510</v>
      </c>
      <c r="AC346" s="464" t="s">
        <v>599</v>
      </c>
      <c r="AD346" s="462"/>
      <c r="AE346" s="463" t="s">
        <v>510</v>
      </c>
      <c r="AF346" s="464" t="s">
        <v>600</v>
      </c>
      <c r="AG346" s="462"/>
      <c r="AH346" s="463" t="s">
        <v>510</v>
      </c>
      <c r="AI346" s="464" t="s">
        <v>601</v>
      </c>
      <c r="AJ346" s="462"/>
      <c r="AK346" s="463" t="s">
        <v>510</v>
      </c>
      <c r="AL346" s="464" t="s">
        <v>602</v>
      </c>
      <c r="AN346" t="s">
        <v>739</v>
      </c>
      <c r="AO346" s="446">
        <f>SUM(A350:A357)</f>
        <v>23508</v>
      </c>
    </row>
    <row r="347" spans="1:41" x14ac:dyDescent="0.35">
      <c r="B347" s="110"/>
      <c r="C347" s="465"/>
      <c r="D347" s="170" t="s">
        <v>35</v>
      </c>
      <c r="E347" s="469">
        <f>SUM(E350:E372)</f>
        <v>4796.7440000000006</v>
      </c>
      <c r="F347" s="465"/>
      <c r="G347" s="170" t="s">
        <v>35</v>
      </c>
      <c r="H347" s="469">
        <f>SUM(H350:H372)</f>
        <v>5491.7439999999997</v>
      </c>
      <c r="I347" s="465"/>
      <c r="J347" s="170" t="s">
        <v>35</v>
      </c>
      <c r="K347" s="469">
        <f>SUM(K350:K372)</f>
        <v>5779.7439999999997</v>
      </c>
      <c r="L347" s="465"/>
      <c r="M347" s="170" t="s">
        <v>35</v>
      </c>
      <c r="N347" s="469">
        <f>SUM(N350:N372)</f>
        <v>8913.4574533333325</v>
      </c>
      <c r="O347" s="465"/>
      <c r="P347" s="170" t="s">
        <v>35</v>
      </c>
      <c r="Q347" s="469">
        <f>SUM(Q350:Q372)</f>
        <v>10866.611453333333</v>
      </c>
      <c r="R347" s="465"/>
      <c r="S347" s="170" t="s">
        <v>35</v>
      </c>
      <c r="T347" s="469">
        <f>SUM(T350:T372)</f>
        <v>11274.611453333333</v>
      </c>
      <c r="U347" s="465"/>
      <c r="V347" s="170" t="s">
        <v>35</v>
      </c>
      <c r="W347" s="469">
        <f>SUM(W350:W372)</f>
        <v>6631.7439999999997</v>
      </c>
      <c r="X347" s="465"/>
      <c r="Y347" s="170" t="s">
        <v>35</v>
      </c>
      <c r="Z347" s="469">
        <f>SUM(Z350:Z372)</f>
        <v>5539.7439999999997</v>
      </c>
      <c r="AA347" s="465"/>
      <c r="AB347" s="170" t="s">
        <v>35</v>
      </c>
      <c r="AC347" s="469">
        <f>SUM(AC350:AC372)</f>
        <v>5539.7439999999997</v>
      </c>
      <c r="AD347" s="465"/>
      <c r="AE347" s="170" t="s">
        <v>35</v>
      </c>
      <c r="AF347" s="469">
        <f>SUM(AF350:AF372)</f>
        <v>5219.7439999999997</v>
      </c>
      <c r="AG347" s="465"/>
      <c r="AH347" s="170" t="s">
        <v>35</v>
      </c>
      <c r="AI347" s="469">
        <f>SUM(AI350:AI372)</f>
        <v>5019.7439999999997</v>
      </c>
      <c r="AJ347" s="465"/>
      <c r="AK347" s="170" t="s">
        <v>35</v>
      </c>
      <c r="AL347" s="469">
        <f>SUM(AL350:AL372)</f>
        <v>5219.7439999999997</v>
      </c>
      <c r="AN347" s="114" t="s">
        <v>740</v>
      </c>
      <c r="AO347" s="446">
        <f>SUM(A366,A367,A368,A371)</f>
        <v>22680.088359999998</v>
      </c>
    </row>
    <row r="348" spans="1:41" x14ac:dyDescent="0.35">
      <c r="A348" s="474" t="s">
        <v>270</v>
      </c>
      <c r="B348" s="470"/>
      <c r="C348" s="546" t="s">
        <v>512</v>
      </c>
      <c r="D348" s="547"/>
      <c r="E348" s="548"/>
      <c r="F348" s="546" t="s">
        <v>512</v>
      </c>
      <c r="G348" s="547"/>
      <c r="H348" s="548"/>
      <c r="I348" s="546" t="s">
        <v>512</v>
      </c>
      <c r="J348" s="547"/>
      <c r="K348" s="548"/>
      <c r="L348" s="546" t="s">
        <v>512</v>
      </c>
      <c r="M348" s="547"/>
      <c r="N348" s="548"/>
      <c r="O348" s="546" t="s">
        <v>512</v>
      </c>
      <c r="P348" s="547"/>
      <c r="Q348" s="548"/>
      <c r="R348" s="546" t="s">
        <v>512</v>
      </c>
      <c r="S348" s="547"/>
      <c r="T348" s="548"/>
      <c r="U348" s="546" t="s">
        <v>512</v>
      </c>
      <c r="V348" s="547"/>
      <c r="W348" s="548"/>
      <c r="X348" s="546" t="s">
        <v>512</v>
      </c>
      <c r="Y348" s="547"/>
      <c r="Z348" s="548"/>
      <c r="AA348" s="546" t="s">
        <v>512</v>
      </c>
      <c r="AB348" s="547"/>
      <c r="AC348" s="548"/>
      <c r="AD348" s="546" t="s">
        <v>512</v>
      </c>
      <c r="AE348" s="547"/>
      <c r="AF348" s="548"/>
      <c r="AG348" s="546" t="s">
        <v>512</v>
      </c>
      <c r="AH348" s="547"/>
      <c r="AI348" s="548"/>
      <c r="AJ348" s="546" t="s">
        <v>512</v>
      </c>
      <c r="AK348" s="547"/>
      <c r="AL348" s="548"/>
      <c r="AN348" s="114" t="s">
        <v>741</v>
      </c>
      <c r="AO348" s="446">
        <f>SUM(A358:A365)</f>
        <v>24885</v>
      </c>
    </row>
    <row r="349" spans="1:41" x14ac:dyDescent="0.35">
      <c r="A349" s="471">
        <f>SUM(A350:A372)</f>
        <v>80293.376359999995</v>
      </c>
      <c r="B349" s="473" t="s">
        <v>717</v>
      </c>
      <c r="C349" s="466" t="s">
        <v>509</v>
      </c>
      <c r="D349" s="467" t="s">
        <v>15</v>
      </c>
      <c r="E349" s="468" t="s">
        <v>368</v>
      </c>
      <c r="F349" s="466" t="s">
        <v>509</v>
      </c>
      <c r="G349" s="467" t="s">
        <v>15</v>
      </c>
      <c r="H349" s="468" t="s">
        <v>368</v>
      </c>
      <c r="I349" s="466" t="s">
        <v>509</v>
      </c>
      <c r="J349" s="467" t="s">
        <v>15</v>
      </c>
      <c r="K349" s="468" t="s">
        <v>368</v>
      </c>
      <c r="L349" s="466" t="s">
        <v>509</v>
      </c>
      <c r="M349" s="467" t="s">
        <v>15</v>
      </c>
      <c r="N349" s="468" t="s">
        <v>368</v>
      </c>
      <c r="O349" s="466" t="s">
        <v>509</v>
      </c>
      <c r="P349" s="467" t="s">
        <v>15</v>
      </c>
      <c r="Q349" s="468" t="s">
        <v>368</v>
      </c>
      <c r="R349" s="466" t="s">
        <v>509</v>
      </c>
      <c r="S349" s="467" t="s">
        <v>15</v>
      </c>
      <c r="T349" s="468" t="s">
        <v>368</v>
      </c>
      <c r="U349" s="466" t="s">
        <v>509</v>
      </c>
      <c r="V349" s="467" t="s">
        <v>15</v>
      </c>
      <c r="W349" s="468" t="s">
        <v>368</v>
      </c>
      <c r="X349" s="466" t="s">
        <v>509</v>
      </c>
      <c r="Y349" s="467" t="s">
        <v>15</v>
      </c>
      <c r="Z349" s="468" t="s">
        <v>368</v>
      </c>
      <c r="AA349" s="466" t="s">
        <v>509</v>
      </c>
      <c r="AB349" s="467" t="s">
        <v>15</v>
      </c>
      <c r="AC349" s="468" t="s">
        <v>368</v>
      </c>
      <c r="AD349" s="466" t="s">
        <v>509</v>
      </c>
      <c r="AE349" s="467" t="s">
        <v>15</v>
      </c>
      <c r="AF349" s="468" t="s">
        <v>368</v>
      </c>
      <c r="AG349" s="466" t="s">
        <v>509</v>
      </c>
      <c r="AH349" s="467" t="s">
        <v>15</v>
      </c>
      <c r="AI349" s="468" t="s">
        <v>368</v>
      </c>
      <c r="AJ349" s="466" t="s">
        <v>509</v>
      </c>
      <c r="AK349" s="467" t="s">
        <v>15</v>
      </c>
      <c r="AL349" s="468" t="s">
        <v>368</v>
      </c>
    </row>
    <row r="350" spans="1:41" x14ac:dyDescent="0.35">
      <c r="A350" s="471">
        <f t="shared" ref="A350:A370" si="21">SUM(E350,H350,K350,N350,Q350,T350,W350,Z350,AC350,AF350,AI350,AL350)</f>
        <v>180</v>
      </c>
      <c r="B350" s="459" t="s">
        <v>483</v>
      </c>
      <c r="C350" s="457">
        <v>3</v>
      </c>
      <c r="D350" s="460" t="str">
        <f>RevenueStreams!$E$12</f>
        <v>Per Hr</v>
      </c>
      <c r="E350" s="461">
        <f>C350*RevenueStreams!$D$12</f>
        <v>15</v>
      </c>
      <c r="F350" s="457">
        <v>3</v>
      </c>
      <c r="G350" s="460" t="str">
        <f>RevenueStreams!$E$12</f>
        <v>Per Hr</v>
      </c>
      <c r="H350" s="461">
        <f>F350*RevenueStreams!$D$12</f>
        <v>15</v>
      </c>
      <c r="I350" s="457">
        <v>3</v>
      </c>
      <c r="J350" s="460" t="str">
        <f>RevenueStreams!$E$12</f>
        <v>Per Hr</v>
      </c>
      <c r="K350" s="461">
        <f>I350*RevenueStreams!$D$12</f>
        <v>15</v>
      </c>
      <c r="L350" s="457">
        <v>3</v>
      </c>
      <c r="M350" s="456" t="str">
        <f>RevenueStreams!$E$12</f>
        <v>Per Hr</v>
      </c>
      <c r="N350" s="458">
        <f>L350*RevenueStreams!$D$12</f>
        <v>15</v>
      </c>
      <c r="O350" s="457">
        <v>3</v>
      </c>
      <c r="P350" s="456" t="str">
        <f>RevenueStreams!$E$12</f>
        <v>Per Hr</v>
      </c>
      <c r="Q350" s="458">
        <f>O350*RevenueStreams!$D$12</f>
        <v>15</v>
      </c>
      <c r="R350" s="457">
        <v>3</v>
      </c>
      <c r="S350" s="456" t="str">
        <f>RevenueStreams!$E$12</f>
        <v>Per Hr</v>
      </c>
      <c r="T350" s="458">
        <f>R350*RevenueStreams!$D$12</f>
        <v>15</v>
      </c>
      <c r="U350" s="457">
        <v>3</v>
      </c>
      <c r="V350" s="456" t="str">
        <f>RevenueStreams!$E$12</f>
        <v>Per Hr</v>
      </c>
      <c r="W350" s="458">
        <f>U350*RevenueStreams!$D$12</f>
        <v>15</v>
      </c>
      <c r="X350" s="457">
        <v>3</v>
      </c>
      <c r="Y350" s="456" t="str">
        <f>RevenueStreams!$E$12</f>
        <v>Per Hr</v>
      </c>
      <c r="Z350" s="458">
        <f>X350*RevenueStreams!$D$12</f>
        <v>15</v>
      </c>
      <c r="AA350" s="457">
        <v>3</v>
      </c>
      <c r="AB350" s="456" t="str">
        <f>RevenueStreams!$E$12</f>
        <v>Per Hr</v>
      </c>
      <c r="AC350" s="458">
        <f>AA350*RevenueStreams!$D$12</f>
        <v>15</v>
      </c>
      <c r="AD350" s="457">
        <v>3</v>
      </c>
      <c r="AE350" s="456" t="str">
        <f>RevenueStreams!$E$12</f>
        <v>Per Hr</v>
      </c>
      <c r="AF350" s="458">
        <f>AD350*RevenueStreams!$D$12</f>
        <v>15</v>
      </c>
      <c r="AG350" s="457">
        <v>3</v>
      </c>
      <c r="AH350" s="456" t="str">
        <f>RevenueStreams!$E$12</f>
        <v>Per Hr</v>
      </c>
      <c r="AI350" s="458">
        <f>AG350*RevenueStreams!$D$12</f>
        <v>15</v>
      </c>
      <c r="AJ350" s="457">
        <v>3</v>
      </c>
      <c r="AK350" s="456" t="str">
        <f>RevenueStreams!$E$12</f>
        <v>Per Hr</v>
      </c>
      <c r="AL350" s="458">
        <f>AJ350*RevenueStreams!$D$12</f>
        <v>15</v>
      </c>
    </row>
    <row r="351" spans="1:41" x14ac:dyDescent="0.35">
      <c r="A351" s="471">
        <f t="shared" si="21"/>
        <v>2304</v>
      </c>
      <c r="B351" s="459" t="s">
        <v>484</v>
      </c>
      <c r="C351" s="457">
        <v>1</v>
      </c>
      <c r="D351" s="460" t="str">
        <f>RevenueStreams!$E$13</f>
        <v>Per Mo</v>
      </c>
      <c r="E351" s="461">
        <f>C351*RevenueStreams!$D$13</f>
        <v>192</v>
      </c>
      <c r="F351" s="457">
        <v>1</v>
      </c>
      <c r="G351" s="460" t="str">
        <f>RevenueStreams!$E$13</f>
        <v>Per Mo</v>
      </c>
      <c r="H351" s="461">
        <f>F351*RevenueStreams!$D$13</f>
        <v>192</v>
      </c>
      <c r="I351" s="457">
        <v>1</v>
      </c>
      <c r="J351" s="460" t="str">
        <f>RevenueStreams!$E$13</f>
        <v>Per Mo</v>
      </c>
      <c r="K351" s="461">
        <f>I351*RevenueStreams!$D$13</f>
        <v>192</v>
      </c>
      <c r="L351" s="457">
        <v>1</v>
      </c>
      <c r="M351" s="456" t="str">
        <f>RevenueStreams!$E$13</f>
        <v>Per Mo</v>
      </c>
      <c r="N351" s="458">
        <f>L351*RevenueStreams!$D$13</f>
        <v>192</v>
      </c>
      <c r="O351" s="457">
        <v>1</v>
      </c>
      <c r="P351" s="456" t="str">
        <f>RevenueStreams!$E$13</f>
        <v>Per Mo</v>
      </c>
      <c r="Q351" s="458">
        <f>O351*RevenueStreams!$D$13</f>
        <v>192</v>
      </c>
      <c r="R351" s="457">
        <v>1</v>
      </c>
      <c r="S351" s="456" t="str">
        <f>RevenueStreams!$E$13</f>
        <v>Per Mo</v>
      </c>
      <c r="T351" s="458">
        <f>R351*RevenueStreams!$D$13</f>
        <v>192</v>
      </c>
      <c r="U351" s="457">
        <v>1</v>
      </c>
      <c r="V351" s="456" t="str">
        <f>RevenueStreams!$E$13</f>
        <v>Per Mo</v>
      </c>
      <c r="W351" s="458">
        <f>U351*RevenueStreams!$D$13</f>
        <v>192</v>
      </c>
      <c r="X351" s="457">
        <v>1</v>
      </c>
      <c r="Y351" s="456" t="str">
        <f>RevenueStreams!$E$13</f>
        <v>Per Mo</v>
      </c>
      <c r="Z351" s="458">
        <f>X351*RevenueStreams!$D$13</f>
        <v>192</v>
      </c>
      <c r="AA351" s="457">
        <v>1</v>
      </c>
      <c r="AB351" s="456" t="str">
        <f>RevenueStreams!$E$13</f>
        <v>Per Mo</v>
      </c>
      <c r="AC351" s="458">
        <f>AA351*RevenueStreams!$D$13</f>
        <v>192</v>
      </c>
      <c r="AD351" s="457">
        <v>1</v>
      </c>
      <c r="AE351" s="456" t="str">
        <f>RevenueStreams!$E$13</f>
        <v>Per Mo</v>
      </c>
      <c r="AF351" s="458">
        <f>AD351*RevenueStreams!$D$13</f>
        <v>192</v>
      </c>
      <c r="AG351" s="457">
        <v>1</v>
      </c>
      <c r="AH351" s="456" t="str">
        <f>RevenueStreams!$E$13</f>
        <v>Per Mo</v>
      </c>
      <c r="AI351" s="458">
        <f>AG351*RevenueStreams!$D$13</f>
        <v>192</v>
      </c>
      <c r="AJ351" s="457">
        <v>1</v>
      </c>
      <c r="AK351" s="456" t="str">
        <f>RevenueStreams!$E$13</f>
        <v>Per Mo</v>
      </c>
      <c r="AL351" s="458">
        <f>AJ351*RevenueStreams!$D$13</f>
        <v>192</v>
      </c>
    </row>
    <row r="352" spans="1:41" x14ac:dyDescent="0.35">
      <c r="A352" s="471">
        <f t="shared" si="21"/>
        <v>2304</v>
      </c>
      <c r="B352" s="459" t="s">
        <v>485</v>
      </c>
      <c r="C352" s="457">
        <v>1</v>
      </c>
      <c r="D352" s="460" t="str">
        <f>RevenueStreams!$E$14</f>
        <v>Per Mo</v>
      </c>
      <c r="E352" s="461">
        <f>C352*RevenueStreams!$D$14</f>
        <v>192</v>
      </c>
      <c r="F352" s="457">
        <v>1</v>
      </c>
      <c r="G352" s="460" t="str">
        <f>RevenueStreams!$E$14</f>
        <v>Per Mo</v>
      </c>
      <c r="H352" s="461">
        <f>F352*RevenueStreams!$D$14</f>
        <v>192</v>
      </c>
      <c r="I352" s="457">
        <v>1</v>
      </c>
      <c r="J352" s="460" t="str">
        <f>RevenueStreams!$E$14</f>
        <v>Per Mo</v>
      </c>
      <c r="K352" s="461">
        <f>I352*RevenueStreams!$D$14</f>
        <v>192</v>
      </c>
      <c r="L352" s="457">
        <v>1</v>
      </c>
      <c r="M352" s="460" t="str">
        <f>RevenueStreams!$E$14</f>
        <v>Per Mo</v>
      </c>
      <c r="N352" s="461">
        <f>L352*RevenueStreams!$D$14</f>
        <v>192</v>
      </c>
      <c r="O352" s="457">
        <v>1</v>
      </c>
      <c r="P352" s="460" t="str">
        <f>RevenueStreams!$E$14</f>
        <v>Per Mo</v>
      </c>
      <c r="Q352" s="461">
        <f>O352*RevenueStreams!$D$14</f>
        <v>192</v>
      </c>
      <c r="R352" s="457">
        <v>1</v>
      </c>
      <c r="S352" s="460" t="str">
        <f>RevenueStreams!$E$14</f>
        <v>Per Mo</v>
      </c>
      <c r="T352" s="461">
        <f>R352*RevenueStreams!$D$14</f>
        <v>192</v>
      </c>
      <c r="U352" s="457">
        <v>1</v>
      </c>
      <c r="V352" s="460" t="str">
        <f>RevenueStreams!$E$14</f>
        <v>Per Mo</v>
      </c>
      <c r="W352" s="461">
        <f>U352*RevenueStreams!$D$14</f>
        <v>192</v>
      </c>
      <c r="X352" s="457">
        <v>1</v>
      </c>
      <c r="Y352" s="460" t="str">
        <f>RevenueStreams!$E$14</f>
        <v>Per Mo</v>
      </c>
      <c r="Z352" s="461">
        <f>X352*RevenueStreams!$D$14</f>
        <v>192</v>
      </c>
      <c r="AA352" s="457">
        <v>1</v>
      </c>
      <c r="AB352" s="460" t="str">
        <f>RevenueStreams!$E$14</f>
        <v>Per Mo</v>
      </c>
      <c r="AC352" s="461">
        <f>AA352*RevenueStreams!$D$14</f>
        <v>192</v>
      </c>
      <c r="AD352" s="457">
        <v>1</v>
      </c>
      <c r="AE352" s="460" t="str">
        <f>RevenueStreams!$E$14</f>
        <v>Per Mo</v>
      </c>
      <c r="AF352" s="461">
        <f>AD352*RevenueStreams!$D$14</f>
        <v>192</v>
      </c>
      <c r="AG352" s="457">
        <v>1</v>
      </c>
      <c r="AH352" s="460" t="str">
        <f>RevenueStreams!$E$14</f>
        <v>Per Mo</v>
      </c>
      <c r="AI352" s="461">
        <f>AG352*RevenueStreams!$D$14</f>
        <v>192</v>
      </c>
      <c r="AJ352" s="457">
        <v>1</v>
      </c>
      <c r="AK352" s="460" t="str">
        <f>RevenueStreams!$E$14</f>
        <v>Per Mo</v>
      </c>
      <c r="AL352" s="461">
        <f>AJ352*RevenueStreams!$D$14</f>
        <v>192</v>
      </c>
    </row>
    <row r="353" spans="1:38" x14ac:dyDescent="0.35">
      <c r="A353" s="471">
        <f t="shared" si="21"/>
        <v>2304</v>
      </c>
      <c r="B353" s="459" t="s">
        <v>486</v>
      </c>
      <c r="C353" s="457">
        <v>1</v>
      </c>
      <c r="D353" s="460" t="str">
        <f>RevenueStreams!$E$15</f>
        <v>Per Mo</v>
      </c>
      <c r="E353" s="461">
        <f>C353*RevenueStreams!$D$15</f>
        <v>192</v>
      </c>
      <c r="F353" s="457">
        <v>1</v>
      </c>
      <c r="G353" s="460" t="str">
        <f>RevenueStreams!$E$15</f>
        <v>Per Mo</v>
      </c>
      <c r="H353" s="461">
        <f>F353*RevenueStreams!$D$15</f>
        <v>192</v>
      </c>
      <c r="I353" s="457">
        <v>1</v>
      </c>
      <c r="J353" s="460" t="str">
        <f>RevenueStreams!$E$15</f>
        <v>Per Mo</v>
      </c>
      <c r="K353" s="461">
        <f>I353*RevenueStreams!$D$15</f>
        <v>192</v>
      </c>
      <c r="L353" s="457">
        <v>1</v>
      </c>
      <c r="M353" s="460" t="str">
        <f>RevenueStreams!$E$15</f>
        <v>Per Mo</v>
      </c>
      <c r="N353" s="461">
        <f>L353*RevenueStreams!$D$15</f>
        <v>192</v>
      </c>
      <c r="O353" s="457">
        <v>1</v>
      </c>
      <c r="P353" s="460" t="str">
        <f>RevenueStreams!$E$15</f>
        <v>Per Mo</v>
      </c>
      <c r="Q353" s="461">
        <f>O353*RevenueStreams!$D$15</f>
        <v>192</v>
      </c>
      <c r="R353" s="457">
        <v>1</v>
      </c>
      <c r="S353" s="460" t="str">
        <f>RevenueStreams!$E$15</f>
        <v>Per Mo</v>
      </c>
      <c r="T353" s="461">
        <f>R353*RevenueStreams!$D$15</f>
        <v>192</v>
      </c>
      <c r="U353" s="457">
        <v>1</v>
      </c>
      <c r="V353" s="460" t="str">
        <f>RevenueStreams!$E$15</f>
        <v>Per Mo</v>
      </c>
      <c r="W353" s="461">
        <f>U353*RevenueStreams!$D$15</f>
        <v>192</v>
      </c>
      <c r="X353" s="457">
        <v>1</v>
      </c>
      <c r="Y353" s="460" t="str">
        <f>RevenueStreams!$E$15</f>
        <v>Per Mo</v>
      </c>
      <c r="Z353" s="461">
        <f>X353*RevenueStreams!$D$15</f>
        <v>192</v>
      </c>
      <c r="AA353" s="457">
        <v>1</v>
      </c>
      <c r="AB353" s="460" t="str">
        <f>RevenueStreams!$E$15</f>
        <v>Per Mo</v>
      </c>
      <c r="AC353" s="461">
        <f>AA353*RevenueStreams!$D$15</f>
        <v>192</v>
      </c>
      <c r="AD353" s="457">
        <v>1</v>
      </c>
      <c r="AE353" s="460" t="str">
        <f>RevenueStreams!$E$15</f>
        <v>Per Mo</v>
      </c>
      <c r="AF353" s="461">
        <f>AD353*RevenueStreams!$D$15</f>
        <v>192</v>
      </c>
      <c r="AG353" s="457">
        <v>1</v>
      </c>
      <c r="AH353" s="460" t="str">
        <f>RevenueStreams!$E$15</f>
        <v>Per Mo</v>
      </c>
      <c r="AI353" s="461">
        <f>AG353*RevenueStreams!$D$15</f>
        <v>192</v>
      </c>
      <c r="AJ353" s="457">
        <v>1</v>
      </c>
      <c r="AK353" s="460" t="str">
        <f>RevenueStreams!$E$15</f>
        <v>Per Mo</v>
      </c>
      <c r="AL353" s="461">
        <f>AJ353*RevenueStreams!$D$15</f>
        <v>192</v>
      </c>
    </row>
    <row r="354" spans="1:38" x14ac:dyDescent="0.35">
      <c r="A354" s="471">
        <f t="shared" si="21"/>
        <v>3456</v>
      </c>
      <c r="B354" s="459" t="s">
        <v>530</v>
      </c>
      <c r="C354" s="457">
        <v>1</v>
      </c>
      <c r="D354" s="460" t="str">
        <f>RevenueStreams!$E$16</f>
        <v>Per Mo</v>
      </c>
      <c r="E354" s="461">
        <f>C354*RevenueStreams!$D$16</f>
        <v>288</v>
      </c>
      <c r="F354" s="457">
        <v>1</v>
      </c>
      <c r="G354" s="460" t="str">
        <f>RevenueStreams!$E$16</f>
        <v>Per Mo</v>
      </c>
      <c r="H354" s="461">
        <f>F354*RevenueStreams!$D$16</f>
        <v>288</v>
      </c>
      <c r="I354" s="457">
        <v>1</v>
      </c>
      <c r="J354" s="460" t="str">
        <f>RevenueStreams!$E$16</f>
        <v>Per Mo</v>
      </c>
      <c r="K354" s="461">
        <f>I354*RevenueStreams!$D$16</f>
        <v>288</v>
      </c>
      <c r="L354" s="457">
        <v>1</v>
      </c>
      <c r="M354" s="460" t="str">
        <f>RevenueStreams!$E$16</f>
        <v>Per Mo</v>
      </c>
      <c r="N354" s="461">
        <f>L354*RevenueStreams!$D$16</f>
        <v>288</v>
      </c>
      <c r="O354" s="457">
        <v>1</v>
      </c>
      <c r="P354" s="460" t="str">
        <f>RevenueStreams!$E$16</f>
        <v>Per Mo</v>
      </c>
      <c r="Q354" s="461">
        <f>O354*RevenueStreams!$D$16</f>
        <v>288</v>
      </c>
      <c r="R354" s="457">
        <v>1</v>
      </c>
      <c r="S354" s="460" t="str">
        <f>RevenueStreams!$E$16</f>
        <v>Per Mo</v>
      </c>
      <c r="T354" s="461">
        <f>R354*RevenueStreams!$D$16</f>
        <v>288</v>
      </c>
      <c r="U354" s="457">
        <v>1</v>
      </c>
      <c r="V354" s="460" t="str">
        <f>RevenueStreams!$E$16</f>
        <v>Per Mo</v>
      </c>
      <c r="W354" s="461">
        <f>U354*RevenueStreams!$D$16</f>
        <v>288</v>
      </c>
      <c r="X354" s="457">
        <v>1</v>
      </c>
      <c r="Y354" s="460" t="str">
        <f>RevenueStreams!$E$16</f>
        <v>Per Mo</v>
      </c>
      <c r="Z354" s="461">
        <f>X354*RevenueStreams!$D$16</f>
        <v>288</v>
      </c>
      <c r="AA354" s="457">
        <v>1</v>
      </c>
      <c r="AB354" s="460" t="str">
        <f>RevenueStreams!$E$16</f>
        <v>Per Mo</v>
      </c>
      <c r="AC354" s="461">
        <f>AA354*RevenueStreams!$D$16</f>
        <v>288</v>
      </c>
      <c r="AD354" s="457">
        <v>1</v>
      </c>
      <c r="AE354" s="460" t="str">
        <f>RevenueStreams!$E$16</f>
        <v>Per Mo</v>
      </c>
      <c r="AF354" s="461">
        <f>AD354*RevenueStreams!$D$16</f>
        <v>288</v>
      </c>
      <c r="AG354" s="457">
        <v>1</v>
      </c>
      <c r="AH354" s="460" t="str">
        <f>RevenueStreams!$E$16</f>
        <v>Per Mo</v>
      </c>
      <c r="AI354" s="461">
        <f>AG354*RevenueStreams!$D$16</f>
        <v>288</v>
      </c>
      <c r="AJ354" s="457">
        <v>1</v>
      </c>
      <c r="AK354" s="460" t="str">
        <f>RevenueStreams!$E$16</f>
        <v>Per Mo</v>
      </c>
      <c r="AL354" s="461">
        <f>AJ354*RevenueStreams!$D$16</f>
        <v>288</v>
      </c>
    </row>
    <row r="355" spans="1:38" x14ac:dyDescent="0.35">
      <c r="A355" s="471">
        <f t="shared" si="21"/>
        <v>3456</v>
      </c>
      <c r="B355" s="459" t="s">
        <v>487</v>
      </c>
      <c r="C355" s="457">
        <v>1</v>
      </c>
      <c r="D355" s="460" t="str">
        <f>RevenueStreams!$E$17</f>
        <v>Per Mo</v>
      </c>
      <c r="E355" s="461">
        <f>C355*RevenueStreams!$D$17</f>
        <v>288</v>
      </c>
      <c r="F355" s="457">
        <v>1</v>
      </c>
      <c r="G355" s="460" t="str">
        <f>RevenueStreams!$E$17</f>
        <v>Per Mo</v>
      </c>
      <c r="H355" s="461">
        <f>F355*RevenueStreams!$D$17</f>
        <v>288</v>
      </c>
      <c r="I355" s="457">
        <v>1</v>
      </c>
      <c r="J355" s="460" t="str">
        <f>RevenueStreams!$E$17</f>
        <v>Per Mo</v>
      </c>
      <c r="K355" s="461">
        <f>I355*RevenueStreams!$D$17</f>
        <v>288</v>
      </c>
      <c r="L355" s="457">
        <v>1</v>
      </c>
      <c r="M355" s="460" t="str">
        <f>RevenueStreams!$E$17</f>
        <v>Per Mo</v>
      </c>
      <c r="N355" s="461">
        <f>L355*RevenueStreams!$D$17</f>
        <v>288</v>
      </c>
      <c r="O355" s="457">
        <v>1</v>
      </c>
      <c r="P355" s="460" t="str">
        <f>RevenueStreams!$E$17</f>
        <v>Per Mo</v>
      </c>
      <c r="Q355" s="461">
        <f>O355*RevenueStreams!$D$17</f>
        <v>288</v>
      </c>
      <c r="R355" s="457">
        <v>1</v>
      </c>
      <c r="S355" s="460" t="str">
        <f>RevenueStreams!$E$17</f>
        <v>Per Mo</v>
      </c>
      <c r="T355" s="461">
        <f>R355*RevenueStreams!$D$17</f>
        <v>288</v>
      </c>
      <c r="U355" s="457">
        <v>1</v>
      </c>
      <c r="V355" s="460" t="str">
        <f>RevenueStreams!$E$17</f>
        <v>Per Mo</v>
      </c>
      <c r="W355" s="461">
        <f>U355*RevenueStreams!$D$17</f>
        <v>288</v>
      </c>
      <c r="X355" s="457">
        <v>1</v>
      </c>
      <c r="Y355" s="460" t="str">
        <f>RevenueStreams!$E$17</f>
        <v>Per Mo</v>
      </c>
      <c r="Z355" s="461">
        <f>X355*RevenueStreams!$D$17</f>
        <v>288</v>
      </c>
      <c r="AA355" s="457">
        <v>1</v>
      </c>
      <c r="AB355" s="460" t="str">
        <f>RevenueStreams!$E$17</f>
        <v>Per Mo</v>
      </c>
      <c r="AC355" s="461">
        <f>AA355*RevenueStreams!$D$17</f>
        <v>288</v>
      </c>
      <c r="AD355" s="457">
        <v>1</v>
      </c>
      <c r="AE355" s="460" t="str">
        <f>RevenueStreams!$E$17</f>
        <v>Per Mo</v>
      </c>
      <c r="AF355" s="461">
        <f>AD355*RevenueStreams!$D$17</f>
        <v>288</v>
      </c>
      <c r="AG355" s="457">
        <v>1</v>
      </c>
      <c r="AH355" s="460" t="str">
        <f>RevenueStreams!$E$17</f>
        <v>Per Mo</v>
      </c>
      <c r="AI355" s="461">
        <f>AG355*RevenueStreams!$D$17</f>
        <v>288</v>
      </c>
      <c r="AJ355" s="457">
        <v>1</v>
      </c>
      <c r="AK355" s="460" t="str">
        <f>RevenueStreams!$E$17</f>
        <v>Per Mo</v>
      </c>
      <c r="AL355" s="461">
        <f>AJ355*RevenueStreams!$D$17</f>
        <v>288</v>
      </c>
    </row>
    <row r="356" spans="1:38" x14ac:dyDescent="0.35">
      <c r="A356" s="471">
        <f t="shared" si="21"/>
        <v>2592</v>
      </c>
      <c r="B356" s="459" t="s">
        <v>488</v>
      </c>
      <c r="C356" s="457">
        <v>0</v>
      </c>
      <c r="D356" s="460" t="str">
        <f>RevenueStreams!$E$18</f>
        <v>Per Mo</v>
      </c>
      <c r="E356" s="461">
        <f>C356*RevenueStreams!$D$18</f>
        <v>0</v>
      </c>
      <c r="F356" s="457">
        <v>0</v>
      </c>
      <c r="G356" s="460" t="str">
        <f>RevenueStreams!$E$18</f>
        <v>Per Mo</v>
      </c>
      <c r="H356" s="461">
        <f>F356*RevenueStreams!$D$18</f>
        <v>0</v>
      </c>
      <c r="I356" s="457">
        <v>1</v>
      </c>
      <c r="J356" s="460" t="str">
        <f>RevenueStreams!$E$18</f>
        <v>Per Mo</v>
      </c>
      <c r="K356" s="461">
        <f>I356*RevenueStreams!$D$18</f>
        <v>288</v>
      </c>
      <c r="L356" s="457">
        <v>0</v>
      </c>
      <c r="M356" s="460" t="str">
        <f>RevenueStreams!$E$18</f>
        <v>Per Mo</v>
      </c>
      <c r="N356" s="461">
        <f>L356*RevenueStreams!$D$18</f>
        <v>0</v>
      </c>
      <c r="O356" s="457">
        <v>1</v>
      </c>
      <c r="P356" s="460" t="str">
        <f>RevenueStreams!$E$18</f>
        <v>Per Mo</v>
      </c>
      <c r="Q356" s="461">
        <f>O356*RevenueStreams!$D$18</f>
        <v>288</v>
      </c>
      <c r="R356" s="457">
        <v>1</v>
      </c>
      <c r="S356" s="460" t="str">
        <f>RevenueStreams!$E$18</f>
        <v>Per Mo</v>
      </c>
      <c r="T356" s="461">
        <f>R356*RevenueStreams!$D$18</f>
        <v>288</v>
      </c>
      <c r="U356" s="457">
        <v>1</v>
      </c>
      <c r="V356" s="460" t="str">
        <f>RevenueStreams!$E$18</f>
        <v>Per Mo</v>
      </c>
      <c r="W356" s="461">
        <f>U356*RevenueStreams!$D$18</f>
        <v>288</v>
      </c>
      <c r="X356" s="457">
        <v>1</v>
      </c>
      <c r="Y356" s="460" t="str">
        <f>RevenueStreams!$E$18</f>
        <v>Per Mo</v>
      </c>
      <c r="Z356" s="461">
        <f>X356*RevenueStreams!$D$18</f>
        <v>288</v>
      </c>
      <c r="AA356" s="457">
        <v>1</v>
      </c>
      <c r="AB356" s="460" t="str">
        <f>RevenueStreams!$E$18</f>
        <v>Per Mo</v>
      </c>
      <c r="AC356" s="461">
        <f>AA356*RevenueStreams!$D$18</f>
        <v>288</v>
      </c>
      <c r="AD356" s="457">
        <v>1</v>
      </c>
      <c r="AE356" s="460" t="str">
        <f>RevenueStreams!$E$18</f>
        <v>Per Mo</v>
      </c>
      <c r="AF356" s="461">
        <f>AD356*RevenueStreams!$D$18</f>
        <v>288</v>
      </c>
      <c r="AG356" s="457">
        <v>1</v>
      </c>
      <c r="AH356" s="460" t="str">
        <f>RevenueStreams!$E$18</f>
        <v>Per Mo</v>
      </c>
      <c r="AI356" s="461">
        <f>AG356*RevenueStreams!$D$18</f>
        <v>288</v>
      </c>
      <c r="AJ356" s="457">
        <v>1</v>
      </c>
      <c r="AK356" s="460" t="str">
        <f>RevenueStreams!$E$18</f>
        <v>Per Mo</v>
      </c>
      <c r="AL356" s="461">
        <f>AJ356*RevenueStreams!$D$18</f>
        <v>288</v>
      </c>
    </row>
    <row r="357" spans="1:38" x14ac:dyDescent="0.35">
      <c r="A357" s="471">
        <f t="shared" si="21"/>
        <v>6912</v>
      </c>
      <c r="B357" s="459" t="s">
        <v>489</v>
      </c>
      <c r="C357" s="457">
        <v>1</v>
      </c>
      <c r="D357" s="460" t="str">
        <f>RevenueStreams!$E$19</f>
        <v>Per Mo</v>
      </c>
      <c r="E357" s="461">
        <f>C357*RevenueStreams!$D$19</f>
        <v>576</v>
      </c>
      <c r="F357" s="457">
        <v>1</v>
      </c>
      <c r="G357" s="460" t="str">
        <f>RevenueStreams!$E$19</f>
        <v>Per Mo</v>
      </c>
      <c r="H357" s="461">
        <f>F357*RevenueStreams!$D$19</f>
        <v>576</v>
      </c>
      <c r="I357" s="457">
        <v>1</v>
      </c>
      <c r="J357" s="460" t="str">
        <f>RevenueStreams!$E$19</f>
        <v>Per Mo</v>
      </c>
      <c r="K357" s="461">
        <f>I357*RevenueStreams!$D$19</f>
        <v>576</v>
      </c>
      <c r="L357" s="457">
        <v>1</v>
      </c>
      <c r="M357" s="460" t="str">
        <f>RevenueStreams!$E$19</f>
        <v>Per Mo</v>
      </c>
      <c r="N357" s="461">
        <f>L357*RevenueStreams!$D$19</f>
        <v>576</v>
      </c>
      <c r="O357" s="457">
        <v>1</v>
      </c>
      <c r="P357" s="460" t="str">
        <f>RevenueStreams!$E$19</f>
        <v>Per Mo</v>
      </c>
      <c r="Q357" s="461">
        <f>O357*RevenueStreams!$D$19</f>
        <v>576</v>
      </c>
      <c r="R357" s="457">
        <v>1</v>
      </c>
      <c r="S357" s="460" t="str">
        <f>RevenueStreams!$E$19</f>
        <v>Per Mo</v>
      </c>
      <c r="T357" s="461">
        <f>R357*RevenueStreams!$D$19</f>
        <v>576</v>
      </c>
      <c r="U357" s="457">
        <v>1</v>
      </c>
      <c r="V357" s="460" t="str">
        <f>RevenueStreams!$E$19</f>
        <v>Per Mo</v>
      </c>
      <c r="W357" s="461">
        <f>U357*RevenueStreams!$D$19</f>
        <v>576</v>
      </c>
      <c r="X357" s="457">
        <v>1</v>
      </c>
      <c r="Y357" s="460" t="str">
        <f>RevenueStreams!$E$19</f>
        <v>Per Mo</v>
      </c>
      <c r="Z357" s="461">
        <f>X357*RevenueStreams!$D$19</f>
        <v>576</v>
      </c>
      <c r="AA357" s="457">
        <v>1</v>
      </c>
      <c r="AB357" s="460" t="str">
        <f>RevenueStreams!$E$19</f>
        <v>Per Mo</v>
      </c>
      <c r="AC357" s="461">
        <f>AA357*RevenueStreams!$D$19</f>
        <v>576</v>
      </c>
      <c r="AD357" s="457">
        <v>1</v>
      </c>
      <c r="AE357" s="460" t="str">
        <f>RevenueStreams!$E$19</f>
        <v>Per Mo</v>
      </c>
      <c r="AF357" s="461">
        <f>AD357*RevenueStreams!$D$19</f>
        <v>576</v>
      </c>
      <c r="AG357" s="457">
        <v>1</v>
      </c>
      <c r="AH357" s="460" t="str">
        <f>RevenueStreams!$E$19</f>
        <v>Per Mo</v>
      </c>
      <c r="AI357" s="461">
        <f>AG357*RevenueStreams!$D$19</f>
        <v>576</v>
      </c>
      <c r="AJ357" s="457">
        <v>1</v>
      </c>
      <c r="AK357" s="460" t="str">
        <f>RevenueStreams!$E$19</f>
        <v>Per Mo</v>
      </c>
      <c r="AL357" s="461">
        <f>AJ357*RevenueStreams!$D$19</f>
        <v>576</v>
      </c>
    </row>
    <row r="358" spans="1:38" x14ac:dyDescent="0.35">
      <c r="A358" s="471">
        <f t="shared" si="21"/>
        <v>1800</v>
      </c>
      <c r="B358" s="459" t="s">
        <v>496</v>
      </c>
      <c r="C358" s="457">
        <v>0</v>
      </c>
      <c r="D358" s="460" t="str">
        <f>RevenueStreams!$E$20</f>
        <v>Per  Hr</v>
      </c>
      <c r="E358" s="461">
        <f>C358*RevenueStreams!$D$20</f>
        <v>0</v>
      </c>
      <c r="F358" s="457">
        <v>8</v>
      </c>
      <c r="G358" s="460" t="str">
        <f>RevenueStreams!$E$20</f>
        <v>Per  Hr</v>
      </c>
      <c r="H358" s="461">
        <f>F358*RevenueStreams!$D$20</f>
        <v>200</v>
      </c>
      <c r="I358" s="457">
        <v>8</v>
      </c>
      <c r="J358" s="460" t="str">
        <f>RevenueStreams!$E$20</f>
        <v>Per  Hr</v>
      </c>
      <c r="K358" s="461">
        <f>I358*RevenueStreams!$D$20</f>
        <v>200</v>
      </c>
      <c r="L358" s="457">
        <v>0</v>
      </c>
      <c r="M358" s="460" t="str">
        <f>RevenueStreams!$E$20</f>
        <v>Per  Hr</v>
      </c>
      <c r="N358" s="461">
        <f>L358*RevenueStreams!$D$20</f>
        <v>0</v>
      </c>
      <c r="O358" s="457">
        <v>8</v>
      </c>
      <c r="P358" s="460" t="str">
        <f>RevenueStreams!$E$20</f>
        <v>Per  Hr</v>
      </c>
      <c r="Q358" s="461">
        <f>O358*RevenueStreams!$D$20</f>
        <v>200</v>
      </c>
      <c r="R358" s="457">
        <v>8</v>
      </c>
      <c r="S358" s="460" t="str">
        <f>RevenueStreams!$E$20</f>
        <v>Per  Hr</v>
      </c>
      <c r="T358" s="461">
        <f>R358*RevenueStreams!$D$20</f>
        <v>200</v>
      </c>
      <c r="U358" s="457">
        <v>8</v>
      </c>
      <c r="V358" s="460" t="str">
        <f>RevenueStreams!$E$20</f>
        <v>Per  Hr</v>
      </c>
      <c r="W358" s="461">
        <f>U358*RevenueStreams!$D$20</f>
        <v>200</v>
      </c>
      <c r="X358" s="457">
        <v>8</v>
      </c>
      <c r="Y358" s="460" t="str">
        <f>RevenueStreams!$E$20</f>
        <v>Per  Hr</v>
      </c>
      <c r="Z358" s="461">
        <f>X358*RevenueStreams!$D$20</f>
        <v>200</v>
      </c>
      <c r="AA358" s="457">
        <v>8</v>
      </c>
      <c r="AB358" s="460" t="str">
        <f>RevenueStreams!$E$20</f>
        <v>Per  Hr</v>
      </c>
      <c r="AC358" s="461">
        <f>AA358*RevenueStreams!$D$20</f>
        <v>200</v>
      </c>
      <c r="AD358" s="457">
        <v>8</v>
      </c>
      <c r="AE358" s="460" t="str">
        <f>RevenueStreams!$E$20</f>
        <v>Per  Hr</v>
      </c>
      <c r="AF358" s="461">
        <f>AD358*RevenueStreams!$D$20</f>
        <v>200</v>
      </c>
      <c r="AG358" s="457">
        <v>0</v>
      </c>
      <c r="AH358" s="460" t="str">
        <f>RevenueStreams!$E$20</f>
        <v>Per  Hr</v>
      </c>
      <c r="AI358" s="461">
        <f>AG358*RevenueStreams!$D$20</f>
        <v>0</v>
      </c>
      <c r="AJ358" s="457">
        <v>8</v>
      </c>
      <c r="AK358" s="460" t="str">
        <f>RevenueStreams!$E$20</f>
        <v>Per  Hr</v>
      </c>
      <c r="AL358" s="461">
        <f>AJ358*RevenueStreams!$D$20</f>
        <v>200</v>
      </c>
    </row>
    <row r="359" spans="1:38" x14ac:dyDescent="0.35">
      <c r="A359" s="471">
        <f t="shared" si="21"/>
        <v>0</v>
      </c>
      <c r="B359" s="459" t="s">
        <v>497</v>
      </c>
      <c r="C359" s="457">
        <v>0</v>
      </c>
      <c r="D359" s="460" t="str">
        <f>RevenueStreams!$E$21</f>
        <v>Per  Hr</v>
      </c>
      <c r="E359" s="461">
        <f>C359*RevenueStreams!$D$21</f>
        <v>0</v>
      </c>
      <c r="F359" s="457">
        <v>0</v>
      </c>
      <c r="G359" s="460" t="str">
        <f>RevenueStreams!$E$21</f>
        <v>Per  Hr</v>
      </c>
      <c r="H359" s="461">
        <f>F359*RevenueStreams!$D$21</f>
        <v>0</v>
      </c>
      <c r="I359" s="457">
        <v>0</v>
      </c>
      <c r="J359" s="460" t="str">
        <f>RevenueStreams!$E$21</f>
        <v>Per  Hr</v>
      </c>
      <c r="K359" s="461">
        <f>I359*RevenueStreams!$D$21</f>
        <v>0</v>
      </c>
      <c r="L359" s="457">
        <v>0</v>
      </c>
      <c r="M359" s="460" t="str">
        <f>RevenueStreams!$E$21</f>
        <v>Per  Hr</v>
      </c>
      <c r="N359" s="461">
        <f>L359*RevenueStreams!$D$21</f>
        <v>0</v>
      </c>
      <c r="O359" s="457">
        <v>0</v>
      </c>
      <c r="P359" s="460" t="str">
        <f>RevenueStreams!$E$21</f>
        <v>Per  Hr</v>
      </c>
      <c r="Q359" s="461">
        <f>O359*RevenueStreams!$D$21</f>
        <v>0</v>
      </c>
      <c r="R359" s="457">
        <v>0</v>
      </c>
      <c r="S359" s="460" t="str">
        <f>RevenueStreams!$E$21</f>
        <v>Per  Hr</v>
      </c>
      <c r="T359" s="461">
        <f>R359*RevenueStreams!$D$21</f>
        <v>0</v>
      </c>
      <c r="U359" s="457">
        <v>0</v>
      </c>
      <c r="V359" s="460" t="str">
        <f>RevenueStreams!$E$21</f>
        <v>Per  Hr</v>
      </c>
      <c r="W359" s="461">
        <f>U359*RevenueStreams!$D$21</f>
        <v>0</v>
      </c>
      <c r="X359" s="457">
        <v>0</v>
      </c>
      <c r="Y359" s="460" t="str">
        <f>RevenueStreams!$E$21</f>
        <v>Per  Hr</v>
      </c>
      <c r="Z359" s="461">
        <f>X359*RevenueStreams!$D$21</f>
        <v>0</v>
      </c>
      <c r="AA359" s="457">
        <v>0</v>
      </c>
      <c r="AB359" s="460" t="str">
        <f>RevenueStreams!$E$21</f>
        <v>Per  Hr</v>
      </c>
      <c r="AC359" s="461">
        <f>AA359*RevenueStreams!$D$21</f>
        <v>0</v>
      </c>
      <c r="AD359" s="457">
        <v>0</v>
      </c>
      <c r="AE359" s="460" t="str">
        <f>RevenueStreams!$E$21</f>
        <v>Per  Hr</v>
      </c>
      <c r="AF359" s="461">
        <f>AD359*RevenueStreams!$D$21</f>
        <v>0</v>
      </c>
      <c r="AG359" s="457">
        <v>0</v>
      </c>
      <c r="AH359" s="460" t="str">
        <f>RevenueStreams!$E$21</f>
        <v>Per  Hr</v>
      </c>
      <c r="AI359" s="461">
        <f>AG359*RevenueStreams!$D$21</f>
        <v>0</v>
      </c>
      <c r="AJ359" s="457">
        <v>0</v>
      </c>
      <c r="AK359" s="460" t="str">
        <f>RevenueStreams!$E$21</f>
        <v>Per  Hr</v>
      </c>
      <c r="AL359" s="461">
        <f>AJ359*RevenueStreams!$D$21</f>
        <v>0</v>
      </c>
    </row>
    <row r="360" spans="1:38" x14ac:dyDescent="0.35">
      <c r="A360" s="471">
        <f t="shared" si="21"/>
        <v>0</v>
      </c>
      <c r="B360" s="459" t="s">
        <v>498</v>
      </c>
      <c r="C360" s="457">
        <v>0</v>
      </c>
      <c r="D360" s="460" t="str">
        <f>RevenueStreams!$E$22</f>
        <v>Per  Hr</v>
      </c>
      <c r="E360" s="461">
        <f>C360*RevenueStreams!$D$22</f>
        <v>0</v>
      </c>
      <c r="F360" s="457">
        <v>0</v>
      </c>
      <c r="G360" s="460" t="str">
        <f>RevenueStreams!$E$22</f>
        <v>Per  Hr</v>
      </c>
      <c r="H360" s="461">
        <f>F360*RevenueStreams!$D$22</f>
        <v>0</v>
      </c>
      <c r="I360" s="457">
        <v>0</v>
      </c>
      <c r="J360" s="460" t="str">
        <f>RevenueStreams!$E$22</f>
        <v>Per  Hr</v>
      </c>
      <c r="K360" s="461">
        <f>I360*RevenueStreams!$D$22</f>
        <v>0</v>
      </c>
      <c r="L360" s="457">
        <v>0</v>
      </c>
      <c r="M360" s="460" t="str">
        <f>RevenueStreams!$E$22</f>
        <v>Per  Hr</v>
      </c>
      <c r="N360" s="461">
        <f>L360*RevenueStreams!$D$22</f>
        <v>0</v>
      </c>
      <c r="O360" s="457">
        <v>0</v>
      </c>
      <c r="P360" s="460" t="str">
        <f>RevenueStreams!$E$22</f>
        <v>Per  Hr</v>
      </c>
      <c r="Q360" s="461">
        <f>O360*RevenueStreams!$D$22</f>
        <v>0</v>
      </c>
      <c r="R360" s="457">
        <v>0</v>
      </c>
      <c r="S360" s="460" t="str">
        <f>RevenueStreams!$E$22</f>
        <v>Per  Hr</v>
      </c>
      <c r="T360" s="461">
        <f>R360*RevenueStreams!$D$22</f>
        <v>0</v>
      </c>
      <c r="U360" s="457">
        <v>0</v>
      </c>
      <c r="V360" s="460" t="str">
        <f>RevenueStreams!$E$22</f>
        <v>Per  Hr</v>
      </c>
      <c r="W360" s="461">
        <f>U360*RevenueStreams!$D$22</f>
        <v>0</v>
      </c>
      <c r="X360" s="457">
        <v>0</v>
      </c>
      <c r="Y360" s="460" t="str">
        <f>RevenueStreams!$E$22</f>
        <v>Per  Hr</v>
      </c>
      <c r="Z360" s="461">
        <f>X360*RevenueStreams!$D$22</f>
        <v>0</v>
      </c>
      <c r="AA360" s="457">
        <v>0</v>
      </c>
      <c r="AB360" s="460" t="str">
        <f>RevenueStreams!$E$22</f>
        <v>Per  Hr</v>
      </c>
      <c r="AC360" s="461">
        <f>AA360*RevenueStreams!$D$22</f>
        <v>0</v>
      </c>
      <c r="AD360" s="457">
        <v>0</v>
      </c>
      <c r="AE360" s="460" t="str">
        <f>RevenueStreams!$E$22</f>
        <v>Per  Hr</v>
      </c>
      <c r="AF360" s="461">
        <f>AD360*RevenueStreams!$D$22</f>
        <v>0</v>
      </c>
      <c r="AG360" s="457">
        <v>0</v>
      </c>
      <c r="AH360" s="460" t="str">
        <f>RevenueStreams!$E$22</f>
        <v>Per  Hr</v>
      </c>
      <c r="AI360" s="461">
        <f>AG360*RevenueStreams!$D$22</f>
        <v>0</v>
      </c>
      <c r="AJ360" s="457">
        <v>0</v>
      </c>
      <c r="AK360" s="460" t="str">
        <f>RevenueStreams!$E$22</f>
        <v>Per  Hr</v>
      </c>
      <c r="AL360" s="461">
        <f>AJ360*RevenueStreams!$D$22</f>
        <v>0</v>
      </c>
    </row>
    <row r="361" spans="1:38" x14ac:dyDescent="0.35">
      <c r="A361" s="471">
        <f t="shared" si="21"/>
        <v>300</v>
      </c>
      <c r="B361" s="459" t="s">
        <v>272</v>
      </c>
      <c r="C361" s="457">
        <v>1</v>
      </c>
      <c r="D361" s="460" t="str">
        <f>RevenueStreams!$E$23</f>
        <v>Per  Pallet</v>
      </c>
      <c r="E361" s="461">
        <f>C361*RevenueStreams!$D$23</f>
        <v>25</v>
      </c>
      <c r="F361" s="457">
        <v>1</v>
      </c>
      <c r="G361" s="460" t="str">
        <f>RevenueStreams!$E$23</f>
        <v>Per  Pallet</v>
      </c>
      <c r="H361" s="461">
        <f>F361*RevenueStreams!$D$23</f>
        <v>25</v>
      </c>
      <c r="I361" s="457">
        <v>1</v>
      </c>
      <c r="J361" s="460" t="str">
        <f>RevenueStreams!$E$23</f>
        <v>Per  Pallet</v>
      </c>
      <c r="K361" s="461">
        <f>I361*RevenueStreams!$D$23</f>
        <v>25</v>
      </c>
      <c r="L361" s="457">
        <v>1</v>
      </c>
      <c r="M361" s="460" t="str">
        <f>RevenueStreams!$E$23</f>
        <v>Per  Pallet</v>
      </c>
      <c r="N361" s="461">
        <f>L361*RevenueStreams!$D$23</f>
        <v>25</v>
      </c>
      <c r="O361" s="457">
        <v>1</v>
      </c>
      <c r="P361" s="460" t="str">
        <f>RevenueStreams!$E$23</f>
        <v>Per  Pallet</v>
      </c>
      <c r="Q361" s="461">
        <f>O361*RevenueStreams!$D$23</f>
        <v>25</v>
      </c>
      <c r="R361" s="457">
        <v>1</v>
      </c>
      <c r="S361" s="460" t="str">
        <f>RevenueStreams!$E$23</f>
        <v>Per  Pallet</v>
      </c>
      <c r="T361" s="461">
        <f>R361*RevenueStreams!$D$23</f>
        <v>25</v>
      </c>
      <c r="U361" s="457">
        <v>1</v>
      </c>
      <c r="V361" s="460" t="str">
        <f>RevenueStreams!$E$23</f>
        <v>Per  Pallet</v>
      </c>
      <c r="W361" s="461">
        <f>U361*RevenueStreams!$D$23</f>
        <v>25</v>
      </c>
      <c r="X361" s="457">
        <v>1</v>
      </c>
      <c r="Y361" s="460" t="str">
        <f>RevenueStreams!$E$23</f>
        <v>Per  Pallet</v>
      </c>
      <c r="Z361" s="461">
        <f>X361*RevenueStreams!$D$23</f>
        <v>25</v>
      </c>
      <c r="AA361" s="457">
        <v>1</v>
      </c>
      <c r="AB361" s="460" t="str">
        <f>RevenueStreams!$E$23</f>
        <v>Per  Pallet</v>
      </c>
      <c r="AC361" s="461">
        <f>AA361*RevenueStreams!$D$23</f>
        <v>25</v>
      </c>
      <c r="AD361" s="457">
        <v>1</v>
      </c>
      <c r="AE361" s="460" t="str">
        <f>RevenueStreams!$E$23</f>
        <v>Per  Pallet</v>
      </c>
      <c r="AF361" s="461">
        <f>AD361*RevenueStreams!$D$23</f>
        <v>25</v>
      </c>
      <c r="AG361" s="457">
        <v>1</v>
      </c>
      <c r="AH361" s="460" t="str">
        <f>RevenueStreams!$E$23</f>
        <v>Per  Pallet</v>
      </c>
      <c r="AI361" s="461">
        <f>AG361*RevenueStreams!$D$23</f>
        <v>25</v>
      </c>
      <c r="AJ361" s="457">
        <v>1</v>
      </c>
      <c r="AK361" s="460" t="str">
        <f>RevenueStreams!$E$23</f>
        <v>Per  Pallet</v>
      </c>
      <c r="AL361" s="461">
        <f>AJ361*RevenueStreams!$D$23</f>
        <v>25</v>
      </c>
    </row>
    <row r="362" spans="1:38" x14ac:dyDescent="0.35">
      <c r="A362" s="471">
        <f t="shared" si="21"/>
        <v>0</v>
      </c>
      <c r="B362" s="459" t="s">
        <v>490</v>
      </c>
      <c r="C362" s="457">
        <v>0</v>
      </c>
      <c r="D362" s="460" t="str">
        <f>RevenueStreams!$E$24</f>
        <v>Per  Pallet</v>
      </c>
      <c r="E362" s="461">
        <f>C362*RevenueStreams!$D$24</f>
        <v>0</v>
      </c>
      <c r="F362" s="457">
        <v>0</v>
      </c>
      <c r="G362" s="460" t="str">
        <f>RevenueStreams!$E$24</f>
        <v>Per  Pallet</v>
      </c>
      <c r="H362" s="461">
        <f>F362*RevenueStreams!$D$24</f>
        <v>0</v>
      </c>
      <c r="I362" s="457">
        <v>0</v>
      </c>
      <c r="J362" s="460" t="str">
        <f>RevenueStreams!$E$24</f>
        <v>Per  Pallet</v>
      </c>
      <c r="K362" s="461">
        <f>I362*RevenueStreams!$D$24</f>
        <v>0</v>
      </c>
      <c r="L362" s="457">
        <v>0</v>
      </c>
      <c r="M362" s="460" t="str">
        <f>RevenueStreams!$E$24</f>
        <v>Per  Pallet</v>
      </c>
      <c r="N362" s="461">
        <f>L362*RevenueStreams!$D$24</f>
        <v>0</v>
      </c>
      <c r="O362" s="457">
        <v>0</v>
      </c>
      <c r="P362" s="460" t="str">
        <f>RevenueStreams!$E$24</f>
        <v>Per  Pallet</v>
      </c>
      <c r="Q362" s="461">
        <f>O362*RevenueStreams!$D$24</f>
        <v>0</v>
      </c>
      <c r="R362" s="457">
        <v>0</v>
      </c>
      <c r="S362" s="460" t="str">
        <f>RevenueStreams!$E$24</f>
        <v>Per  Pallet</v>
      </c>
      <c r="T362" s="461">
        <f>R362*RevenueStreams!$D$24</f>
        <v>0</v>
      </c>
      <c r="U362" s="457">
        <v>0</v>
      </c>
      <c r="V362" s="460" t="str">
        <f>RevenueStreams!$E$24</f>
        <v>Per  Pallet</v>
      </c>
      <c r="W362" s="461">
        <f>U362*RevenueStreams!$D$24</f>
        <v>0</v>
      </c>
      <c r="X362" s="457">
        <v>0</v>
      </c>
      <c r="Y362" s="460" t="str">
        <f>RevenueStreams!$E$24</f>
        <v>Per  Pallet</v>
      </c>
      <c r="Z362" s="461">
        <f>X362*RevenueStreams!$D$24</f>
        <v>0</v>
      </c>
      <c r="AA362" s="457">
        <v>0</v>
      </c>
      <c r="AB362" s="460" t="str">
        <f>RevenueStreams!$E$24</f>
        <v>Per  Pallet</v>
      </c>
      <c r="AC362" s="461">
        <f>AA362*RevenueStreams!$D$24</f>
        <v>0</v>
      </c>
      <c r="AD362" s="457">
        <v>0</v>
      </c>
      <c r="AE362" s="460" t="str">
        <f>RevenueStreams!$E$24</f>
        <v>Per  Pallet</v>
      </c>
      <c r="AF362" s="461">
        <f>AD362*RevenueStreams!$D$24</f>
        <v>0</v>
      </c>
      <c r="AG362" s="457">
        <v>0</v>
      </c>
      <c r="AH362" s="460" t="str">
        <f>RevenueStreams!$E$24</f>
        <v>Per  Pallet</v>
      </c>
      <c r="AI362" s="461">
        <f>AG362*RevenueStreams!$D$24</f>
        <v>0</v>
      </c>
      <c r="AJ362" s="457">
        <v>0</v>
      </c>
      <c r="AK362" s="460" t="str">
        <f>RevenueStreams!$E$24</f>
        <v>Per  Pallet</v>
      </c>
      <c r="AL362" s="461">
        <f>AJ362*RevenueStreams!$D$24</f>
        <v>0</v>
      </c>
    </row>
    <row r="363" spans="1:38" x14ac:dyDescent="0.35">
      <c r="A363" s="471">
        <f t="shared" si="21"/>
        <v>5985</v>
      </c>
      <c r="B363" s="459" t="s">
        <v>491</v>
      </c>
      <c r="C363" s="457">
        <v>1</v>
      </c>
      <c r="D363" s="460" t="str">
        <f>RevenueStreams!$E$25</f>
        <v>Per  Pallet</v>
      </c>
      <c r="E363" s="461">
        <f>C363*RevenueStreams!$D$25</f>
        <v>45</v>
      </c>
      <c r="F363" s="457">
        <v>12</v>
      </c>
      <c r="G363" s="460" t="str">
        <f>RevenueStreams!$E$25</f>
        <v>Per  Pallet</v>
      </c>
      <c r="H363" s="461">
        <f>F363*RevenueStreams!$D$25</f>
        <v>540</v>
      </c>
      <c r="I363" s="457">
        <v>12</v>
      </c>
      <c r="J363" s="460" t="str">
        <f>RevenueStreams!$E$25</f>
        <v>Per  Pallet</v>
      </c>
      <c r="K363" s="461">
        <f>I363*RevenueStreams!$D$25</f>
        <v>540</v>
      </c>
      <c r="L363" s="457">
        <v>12</v>
      </c>
      <c r="M363" s="460" t="str">
        <f>RevenueStreams!$E$25</f>
        <v>Per  Pallet</v>
      </c>
      <c r="N363" s="461">
        <f>L363*RevenueStreams!$D$25</f>
        <v>540</v>
      </c>
      <c r="O363" s="457">
        <v>12</v>
      </c>
      <c r="P363" s="460" t="str">
        <f>RevenueStreams!$E$25</f>
        <v>Per  Pallet</v>
      </c>
      <c r="Q363" s="461">
        <f>O363*RevenueStreams!$D$25</f>
        <v>540</v>
      </c>
      <c r="R363" s="457">
        <v>12</v>
      </c>
      <c r="S363" s="460" t="str">
        <f>RevenueStreams!$E$25</f>
        <v>Per  Pallet</v>
      </c>
      <c r="T363" s="461">
        <f>R363*RevenueStreams!$D$25</f>
        <v>540</v>
      </c>
      <c r="U363" s="457">
        <v>12</v>
      </c>
      <c r="V363" s="460" t="str">
        <f>RevenueStreams!$E$25</f>
        <v>Per  Pallet</v>
      </c>
      <c r="W363" s="461">
        <f>U363*RevenueStreams!$D$25</f>
        <v>540</v>
      </c>
      <c r="X363" s="457">
        <v>12</v>
      </c>
      <c r="Y363" s="460" t="str">
        <f>RevenueStreams!$E$25</f>
        <v>Per  Pallet</v>
      </c>
      <c r="Z363" s="461">
        <f>X363*RevenueStreams!$D$25</f>
        <v>540</v>
      </c>
      <c r="AA363" s="457">
        <v>12</v>
      </c>
      <c r="AB363" s="460" t="str">
        <f>RevenueStreams!$E$25</f>
        <v>Per  Pallet</v>
      </c>
      <c r="AC363" s="461">
        <f>AA363*RevenueStreams!$D$25</f>
        <v>540</v>
      </c>
      <c r="AD363" s="457">
        <v>12</v>
      </c>
      <c r="AE363" s="460" t="str">
        <f>RevenueStreams!$E$25</f>
        <v>Per  Pallet</v>
      </c>
      <c r="AF363" s="461">
        <f>AD363*RevenueStreams!$D$25</f>
        <v>540</v>
      </c>
      <c r="AG363" s="457">
        <v>12</v>
      </c>
      <c r="AH363" s="460" t="str">
        <f>RevenueStreams!$E$25</f>
        <v>Per  Pallet</v>
      </c>
      <c r="AI363" s="461">
        <f>AG363*RevenueStreams!$D$25</f>
        <v>540</v>
      </c>
      <c r="AJ363" s="457">
        <v>12</v>
      </c>
      <c r="AK363" s="460" t="str">
        <f>RevenueStreams!$E$25</f>
        <v>Per  Pallet</v>
      </c>
      <c r="AL363" s="461">
        <f>AJ363*RevenueStreams!$D$25</f>
        <v>540</v>
      </c>
    </row>
    <row r="364" spans="1:38" x14ac:dyDescent="0.35">
      <c r="A364" s="471">
        <f t="shared" si="21"/>
        <v>6960</v>
      </c>
      <c r="B364" s="459" t="s">
        <v>519</v>
      </c>
      <c r="C364" s="457">
        <f>3*8*3</f>
        <v>72</v>
      </c>
      <c r="D364" s="460" t="str">
        <f>RevenueStreams!$E$26</f>
        <v>Per Hr</v>
      </c>
      <c r="E364" s="461">
        <f>C364*RevenueStreams!$D$26</f>
        <v>720</v>
      </c>
      <c r="F364" s="457">
        <f>3*8*3</f>
        <v>72</v>
      </c>
      <c r="G364" s="460" t="str">
        <f>RevenueStreams!$E$26</f>
        <v>Per Hr</v>
      </c>
      <c r="H364" s="461">
        <f>F364*RevenueStreams!$D$26</f>
        <v>720</v>
      </c>
      <c r="I364" s="457">
        <f>3*8*3</f>
        <v>72</v>
      </c>
      <c r="J364" s="460" t="str">
        <f>RevenueStreams!$E$26</f>
        <v>Per Hr</v>
      </c>
      <c r="K364" s="461">
        <f>I364*RevenueStreams!$D$26</f>
        <v>720</v>
      </c>
      <c r="L364" s="457">
        <f>3*8*4</f>
        <v>96</v>
      </c>
      <c r="M364" s="460" t="str">
        <f>RevenueStreams!$E$26</f>
        <v>Per Hr</v>
      </c>
      <c r="N364" s="461">
        <f>L364*RevenueStreams!$D$26</f>
        <v>960</v>
      </c>
      <c r="O364" s="457">
        <f>3*8*4</f>
        <v>96</v>
      </c>
      <c r="P364" s="460" t="str">
        <f>RevenueStreams!$E$26</f>
        <v>Per Hr</v>
      </c>
      <c r="Q364" s="461">
        <f>O364*RevenueStreams!$D$26</f>
        <v>960</v>
      </c>
      <c r="R364" s="457">
        <f>3*8*4</f>
        <v>96</v>
      </c>
      <c r="S364" s="460" t="str">
        <f>RevenueStreams!$E$26</f>
        <v>Per Hr</v>
      </c>
      <c r="T364" s="461">
        <f>R364*RevenueStreams!$D$26</f>
        <v>960</v>
      </c>
      <c r="U364" s="457">
        <f>3*8*3</f>
        <v>72</v>
      </c>
      <c r="V364" s="460" t="str">
        <f>RevenueStreams!$E$26</f>
        <v>Per Hr</v>
      </c>
      <c r="W364" s="461">
        <f>U364*RevenueStreams!$D$26</f>
        <v>720</v>
      </c>
      <c r="X364" s="457">
        <v>24</v>
      </c>
      <c r="Y364" s="460" t="str">
        <f>RevenueStreams!$E$26</f>
        <v>Per Hr</v>
      </c>
      <c r="Z364" s="461">
        <f>X364*RevenueStreams!$D$26</f>
        <v>240</v>
      </c>
      <c r="AA364" s="457">
        <v>24</v>
      </c>
      <c r="AB364" s="460" t="str">
        <f>RevenueStreams!$E$26</f>
        <v>Per Hr</v>
      </c>
      <c r="AC364" s="461">
        <f>AA364*RevenueStreams!$D$26</f>
        <v>240</v>
      </c>
      <c r="AD364" s="457">
        <v>24</v>
      </c>
      <c r="AE364" s="460" t="str">
        <f>RevenueStreams!$E$26</f>
        <v>Per Hr</v>
      </c>
      <c r="AF364" s="461">
        <f>AD364*RevenueStreams!$D$26</f>
        <v>240</v>
      </c>
      <c r="AG364" s="457">
        <v>24</v>
      </c>
      <c r="AH364" s="460" t="str">
        <f>RevenueStreams!$E$26</f>
        <v>Per Hr</v>
      </c>
      <c r="AI364" s="461">
        <f>AG364*RevenueStreams!$D$26</f>
        <v>240</v>
      </c>
      <c r="AJ364" s="457">
        <v>24</v>
      </c>
      <c r="AK364" s="460" t="str">
        <f>RevenueStreams!$E$26</f>
        <v>Per Hr</v>
      </c>
      <c r="AL364" s="461">
        <f>AJ364*RevenueStreams!$D$26</f>
        <v>240</v>
      </c>
    </row>
    <row r="365" spans="1:38" x14ac:dyDescent="0.35">
      <c r="A365" s="471">
        <f t="shared" si="21"/>
        <v>9840</v>
      </c>
      <c r="B365" s="459" t="s">
        <v>492</v>
      </c>
      <c r="C365" s="457">
        <f>3*8*3</f>
        <v>72</v>
      </c>
      <c r="D365" s="460" t="str">
        <f>RevenueStreams!$E$27</f>
        <v>Per Hr</v>
      </c>
      <c r="E365" s="461">
        <f>C365*RevenueStreams!$D$27</f>
        <v>720</v>
      </c>
      <c r="F365" s="457">
        <f>3*8*3</f>
        <v>72</v>
      </c>
      <c r="G365" s="460" t="str">
        <f>RevenueStreams!$E$27</f>
        <v>Per Hr</v>
      </c>
      <c r="H365" s="461">
        <f>F365*RevenueStreams!$D$27</f>
        <v>720</v>
      </c>
      <c r="I365" s="457">
        <f>3*8*3</f>
        <v>72</v>
      </c>
      <c r="J365" s="460" t="str">
        <f>RevenueStreams!$E$27</f>
        <v>Per Hr</v>
      </c>
      <c r="K365" s="461">
        <f>I365*RevenueStreams!$D$27</f>
        <v>720</v>
      </c>
      <c r="L365" s="457">
        <f>4*8*3</f>
        <v>96</v>
      </c>
      <c r="M365" s="460" t="str">
        <f>RevenueStreams!$E$27</f>
        <v>Per Hr</v>
      </c>
      <c r="N365" s="461">
        <f>L365*RevenueStreams!$D$27</f>
        <v>960</v>
      </c>
      <c r="O365" s="457">
        <f>4*8*3</f>
        <v>96</v>
      </c>
      <c r="P365" s="460" t="str">
        <f>RevenueStreams!$E$27</f>
        <v>Per Hr</v>
      </c>
      <c r="Q365" s="461">
        <f>O365*RevenueStreams!$D$27</f>
        <v>960</v>
      </c>
      <c r="R365" s="457">
        <f>4*8*3</f>
        <v>96</v>
      </c>
      <c r="S365" s="460" t="str">
        <f>RevenueStreams!$E$27</f>
        <v>Per Hr</v>
      </c>
      <c r="T365" s="461">
        <f>R365*RevenueStreams!$D$27</f>
        <v>960</v>
      </c>
      <c r="U365" s="457">
        <f>4*8*3</f>
        <v>96</v>
      </c>
      <c r="V365" s="460" t="str">
        <f>RevenueStreams!$E$27</f>
        <v>Per Hr</v>
      </c>
      <c r="W365" s="461">
        <f>U365*RevenueStreams!$D$27</f>
        <v>960</v>
      </c>
      <c r="X365" s="457">
        <f>4*8*3</f>
        <v>96</v>
      </c>
      <c r="Y365" s="460" t="str">
        <f>RevenueStreams!$E$27</f>
        <v>Per Hr</v>
      </c>
      <c r="Z365" s="461">
        <f>X365*RevenueStreams!$D$27</f>
        <v>960</v>
      </c>
      <c r="AA365" s="457">
        <f>4*8*3</f>
        <v>96</v>
      </c>
      <c r="AB365" s="460" t="str">
        <f>RevenueStreams!$E$27</f>
        <v>Per Hr</v>
      </c>
      <c r="AC365" s="461">
        <f>AA365*RevenueStreams!$D$27</f>
        <v>960</v>
      </c>
      <c r="AD365" s="457">
        <f>4*8*2</f>
        <v>64</v>
      </c>
      <c r="AE365" s="460" t="str">
        <f>RevenueStreams!$E$27</f>
        <v>Per Hr</v>
      </c>
      <c r="AF365" s="461">
        <f>AD365*RevenueStreams!$D$27</f>
        <v>640</v>
      </c>
      <c r="AG365" s="457">
        <f>4*8*2</f>
        <v>64</v>
      </c>
      <c r="AH365" s="460" t="str">
        <f>RevenueStreams!$E$27</f>
        <v>Per Hr</v>
      </c>
      <c r="AI365" s="461">
        <f>AG365*RevenueStreams!$D$27</f>
        <v>640</v>
      </c>
      <c r="AJ365" s="457">
        <f>4*8*2</f>
        <v>64</v>
      </c>
      <c r="AK365" s="460" t="str">
        <f>RevenueStreams!$E$27</f>
        <v>Per Hr</v>
      </c>
      <c r="AL365" s="461">
        <f>AJ365*RevenueStreams!$D$27</f>
        <v>640</v>
      </c>
    </row>
    <row r="366" spans="1:38" x14ac:dyDescent="0.35">
      <c r="A366" s="471">
        <f t="shared" si="21"/>
        <v>1428</v>
      </c>
      <c r="B366" s="459" t="s">
        <v>502</v>
      </c>
      <c r="C366" s="457">
        <v>0</v>
      </c>
      <c r="D366" s="460" t="str">
        <f>RevenueStreams!$E$29</f>
        <v>Per Hr</v>
      </c>
      <c r="E366" s="461">
        <f>C366*RevenueStreams!$D$29</f>
        <v>0</v>
      </c>
      <c r="F366" s="457">
        <v>0</v>
      </c>
      <c r="G366" s="460" t="str">
        <f>RevenueStreams!$E$29</f>
        <v>Per Hr</v>
      </c>
      <c r="H366" s="461">
        <f>F366*RevenueStreams!$D$29</f>
        <v>0</v>
      </c>
      <c r="I366" s="457">
        <v>0</v>
      </c>
      <c r="J366" s="460" t="str">
        <f>RevenueStreams!$E$29</f>
        <v>Per Hr</v>
      </c>
      <c r="K366" s="461">
        <f>I366*RevenueStreams!$D$29</f>
        <v>0</v>
      </c>
      <c r="L366" s="457">
        <v>0</v>
      </c>
      <c r="M366" s="460" t="str">
        <f>RevenueStreams!$E$29</f>
        <v>Per Hr</v>
      </c>
      <c r="N366" s="461">
        <f>L366*RevenueStreams!$D$29</f>
        <v>0</v>
      </c>
      <c r="O366" s="457">
        <f>8*1*1</f>
        <v>8</v>
      </c>
      <c r="P366" s="460" t="str">
        <f>RevenueStreams!$E$29</f>
        <v>Per Hr</v>
      </c>
      <c r="Q366" s="461">
        <f>O366*RevenueStreams!$D$29</f>
        <v>204</v>
      </c>
      <c r="R366" s="457">
        <f>8*1*3</f>
        <v>24</v>
      </c>
      <c r="S366" s="460" t="str">
        <f>RevenueStreams!$E$29</f>
        <v>Per Hr</v>
      </c>
      <c r="T366" s="461">
        <f>R366*RevenueStreams!$D$29</f>
        <v>612</v>
      </c>
      <c r="U366" s="457">
        <f>8*1*3</f>
        <v>24</v>
      </c>
      <c r="V366" s="460" t="str">
        <f>RevenueStreams!$E$29</f>
        <v>Per Hr</v>
      </c>
      <c r="W366" s="461">
        <f>U366*RevenueStreams!$D$29</f>
        <v>612</v>
      </c>
      <c r="X366" s="457">
        <v>0</v>
      </c>
      <c r="Y366" s="460" t="str">
        <f>RevenueStreams!$E$29</f>
        <v>Per Hr</v>
      </c>
      <c r="Z366" s="461">
        <f>X366*RevenueStreams!$D$29</f>
        <v>0</v>
      </c>
      <c r="AA366" s="457">
        <v>0</v>
      </c>
      <c r="AB366" s="460" t="str">
        <f>RevenueStreams!$E$29</f>
        <v>Per Hr</v>
      </c>
      <c r="AC366" s="461">
        <f>AA366*RevenueStreams!$D$29</f>
        <v>0</v>
      </c>
      <c r="AD366" s="457">
        <v>0</v>
      </c>
      <c r="AE366" s="460" t="str">
        <f>RevenueStreams!$E$29</f>
        <v>Per Hr</v>
      </c>
      <c r="AF366" s="461">
        <f>AD366*RevenueStreams!$D$29</f>
        <v>0</v>
      </c>
      <c r="AG366" s="457">
        <v>0</v>
      </c>
      <c r="AH366" s="460" t="str">
        <f>RevenueStreams!$E$29</f>
        <v>Per Hr</v>
      </c>
      <c r="AI366" s="461">
        <f>AG366*RevenueStreams!$D$29</f>
        <v>0</v>
      </c>
      <c r="AJ366" s="457">
        <v>0</v>
      </c>
      <c r="AK366" s="460" t="str">
        <f>RevenueStreams!$E$29</f>
        <v>Per Hr</v>
      </c>
      <c r="AL366" s="461">
        <f>AJ366*RevenueStreams!$D$29</f>
        <v>0</v>
      </c>
    </row>
    <row r="367" spans="1:38" x14ac:dyDescent="0.35">
      <c r="A367" s="471">
        <f t="shared" si="21"/>
        <v>9129.7803599999988</v>
      </c>
      <c r="B367" s="459" t="s">
        <v>503</v>
      </c>
      <c r="C367" s="457">
        <v>0</v>
      </c>
      <c r="D367" s="460" t="str">
        <f>RevenueStreams!$E$30</f>
        <v>Per Hr</v>
      </c>
      <c r="E367" s="461">
        <f>C367*RevenueStreams!$D$30</f>
        <v>0</v>
      </c>
      <c r="F367" s="457">
        <v>0</v>
      </c>
      <c r="G367" s="460" t="str">
        <f>RevenueStreams!$E$30</f>
        <v>Per Hr</v>
      </c>
      <c r="H367" s="461">
        <f>F367*RevenueStreams!$D$30</f>
        <v>0</v>
      </c>
      <c r="I367" s="457">
        <v>0</v>
      </c>
      <c r="J367" s="460" t="str">
        <f>RevenueStreams!$E$30</f>
        <v>Per Hr</v>
      </c>
      <c r="K367" s="461">
        <f>I367*RevenueStreams!$D$30</f>
        <v>0</v>
      </c>
      <c r="L367" s="457">
        <f>3*8*2</f>
        <v>48</v>
      </c>
      <c r="M367" s="460" t="str">
        <f>RevenueStreams!$E$30</f>
        <v>Per Hr</v>
      </c>
      <c r="N367" s="461">
        <f>L367*RevenueStreams!$D$30</f>
        <v>3043.2601199999995</v>
      </c>
      <c r="O367" s="457">
        <f>3*8*2</f>
        <v>48</v>
      </c>
      <c r="P367" s="460" t="str">
        <f>RevenueStreams!$E$30</f>
        <v>Per Hr</v>
      </c>
      <c r="Q367" s="461">
        <f>O367*RevenueStreams!$D$30</f>
        <v>3043.2601199999995</v>
      </c>
      <c r="R367" s="457">
        <f>3*8*2</f>
        <v>48</v>
      </c>
      <c r="S367" s="460" t="str">
        <f>RevenueStreams!$E$30</f>
        <v>Per Hr</v>
      </c>
      <c r="T367" s="461">
        <f>R367*RevenueStreams!$D$30</f>
        <v>3043.2601199999995</v>
      </c>
      <c r="U367" s="457">
        <v>0</v>
      </c>
      <c r="V367" s="460" t="str">
        <f>RevenueStreams!$E$30</f>
        <v>Per Hr</v>
      </c>
      <c r="W367" s="461">
        <f>U367*RevenueStreams!$D$30</f>
        <v>0</v>
      </c>
      <c r="X367" s="457">
        <v>0</v>
      </c>
      <c r="Y367" s="460" t="str">
        <f>RevenueStreams!$E$30</f>
        <v>Per Hr</v>
      </c>
      <c r="Z367" s="461">
        <f>X367*RevenueStreams!$D$30</f>
        <v>0</v>
      </c>
      <c r="AA367" s="457">
        <v>0</v>
      </c>
      <c r="AB367" s="460" t="str">
        <f>RevenueStreams!$E$30</f>
        <v>Per Hr</v>
      </c>
      <c r="AC367" s="461">
        <f>AA367*RevenueStreams!$D$30</f>
        <v>0</v>
      </c>
      <c r="AD367" s="457">
        <v>0</v>
      </c>
      <c r="AE367" s="460" t="str">
        <f>RevenueStreams!$E$30</f>
        <v>Per Hr</v>
      </c>
      <c r="AF367" s="461">
        <f>AD367*RevenueStreams!$D$30</f>
        <v>0</v>
      </c>
      <c r="AG367" s="457">
        <v>0</v>
      </c>
      <c r="AH367" s="460" t="str">
        <f>RevenueStreams!$E$30</f>
        <v>Per Hr</v>
      </c>
      <c r="AI367" s="461">
        <f>AG367*RevenueStreams!$D$30</f>
        <v>0</v>
      </c>
      <c r="AJ367" s="457">
        <v>0</v>
      </c>
      <c r="AK367" s="460" t="str">
        <f>RevenueStreams!$E$30</f>
        <v>Per Hr</v>
      </c>
      <c r="AL367" s="461">
        <f>AJ367*RevenueStreams!$D$30</f>
        <v>0</v>
      </c>
    </row>
    <row r="368" spans="1:38" x14ac:dyDescent="0.35">
      <c r="A368" s="471">
        <f t="shared" si="21"/>
        <v>2522.308</v>
      </c>
      <c r="B368" s="459" t="s">
        <v>507</v>
      </c>
      <c r="C368" s="457">
        <v>0</v>
      </c>
      <c r="D368" s="460" t="str">
        <f>RevenueStreams!$E$31</f>
        <v>Per Hr</v>
      </c>
      <c r="E368" s="461">
        <f>C368*RevenueStreams!$D$31</f>
        <v>0</v>
      </c>
      <c r="F368" s="457">
        <v>0</v>
      </c>
      <c r="G368" s="460" t="str">
        <f>RevenueStreams!$E$31</f>
        <v>Per Hr</v>
      </c>
      <c r="H368" s="461">
        <f>F368*RevenueStreams!$D$31</f>
        <v>0</v>
      </c>
      <c r="I368" s="457">
        <v>0</v>
      </c>
      <c r="J368" s="460" t="str">
        <f>RevenueStreams!$E$31</f>
        <v>Per Hr</v>
      </c>
      <c r="K368" s="461">
        <f>I368*RevenueStreams!$D$31</f>
        <v>0</v>
      </c>
      <c r="L368" s="457">
        <v>0</v>
      </c>
      <c r="M368" s="460" t="str">
        <f>RevenueStreams!$E$31</f>
        <v>Per Hr</v>
      </c>
      <c r="N368" s="461">
        <f>L368*RevenueStreams!$D$31</f>
        <v>0</v>
      </c>
      <c r="O368" s="457">
        <f>2*8*1</f>
        <v>16</v>
      </c>
      <c r="P368" s="460" t="str">
        <f>RevenueStreams!$E$31</f>
        <v>Per Hr</v>
      </c>
      <c r="Q368" s="461">
        <f>O368*RevenueStreams!$D$31</f>
        <v>1261.154</v>
      </c>
      <c r="R368" s="457">
        <f>2*8*1</f>
        <v>16</v>
      </c>
      <c r="S368" s="460" t="str">
        <f>RevenueStreams!$E$31</f>
        <v>Per Hr</v>
      </c>
      <c r="T368" s="461">
        <f>R368*RevenueStreams!$D$31</f>
        <v>1261.154</v>
      </c>
      <c r="U368" s="457">
        <v>0</v>
      </c>
      <c r="V368" s="460" t="str">
        <f>RevenueStreams!$E$31</f>
        <v>Per Hr</v>
      </c>
      <c r="W368" s="461">
        <f>U368*RevenueStreams!$D$31</f>
        <v>0</v>
      </c>
      <c r="X368" s="457">
        <v>0</v>
      </c>
      <c r="Y368" s="460" t="str">
        <f>RevenueStreams!$E$31</f>
        <v>Per Hr</v>
      </c>
      <c r="Z368" s="461">
        <f>X368*RevenueStreams!$D$31</f>
        <v>0</v>
      </c>
      <c r="AA368" s="457">
        <v>0</v>
      </c>
      <c r="AB368" s="460" t="str">
        <f>RevenueStreams!$E$31</f>
        <v>Per Hr</v>
      </c>
      <c r="AC368" s="461">
        <f>AA368*RevenueStreams!$D$31</f>
        <v>0</v>
      </c>
      <c r="AD368" s="457">
        <v>0</v>
      </c>
      <c r="AE368" s="460" t="str">
        <f>RevenueStreams!$E$31</f>
        <v>Per Hr</v>
      </c>
      <c r="AF368" s="461">
        <f>AD368*RevenueStreams!$D$31</f>
        <v>0</v>
      </c>
      <c r="AG368" s="457">
        <v>0</v>
      </c>
      <c r="AH368" s="460" t="str">
        <f>RevenueStreams!$E$31</f>
        <v>Per Hr</v>
      </c>
      <c r="AI368" s="461">
        <f>AG368*RevenueStreams!$D$31</f>
        <v>0</v>
      </c>
      <c r="AJ368" s="457">
        <v>0</v>
      </c>
      <c r="AK368" s="460" t="str">
        <f>RevenueStreams!$E$31</f>
        <v>Per Hr</v>
      </c>
      <c r="AL368" s="461">
        <f>AJ368*RevenueStreams!$D$31</f>
        <v>0</v>
      </c>
    </row>
    <row r="369" spans="1:41" x14ac:dyDescent="0.35">
      <c r="A369" s="471">
        <f t="shared" si="21"/>
        <v>295.35999999999996</v>
      </c>
      <c r="B369" s="459" t="s">
        <v>506</v>
      </c>
      <c r="C369" s="457">
        <v>0</v>
      </c>
      <c r="D369" s="460" t="str">
        <f>RevenueStreams!$E$32</f>
        <v>Per Hr</v>
      </c>
      <c r="E369" s="461">
        <f>C369*RevenueStreams!$D$32</f>
        <v>0</v>
      </c>
      <c r="F369" s="457">
        <v>0</v>
      </c>
      <c r="G369" s="460" t="str">
        <f>RevenueStreams!$E$32</f>
        <v>Per Hr</v>
      </c>
      <c r="H369" s="461">
        <f>F369*RevenueStreams!$D$32</f>
        <v>0</v>
      </c>
      <c r="I369" s="457">
        <v>0</v>
      </c>
      <c r="J369" s="460" t="str">
        <f>RevenueStreams!$E$32</f>
        <v>Per Hr</v>
      </c>
      <c r="K369" s="461">
        <f>I369*RevenueStreams!$D$32</f>
        <v>0</v>
      </c>
      <c r="L369" s="457">
        <f>1*8*1</f>
        <v>8</v>
      </c>
      <c r="M369" s="460" t="str">
        <f>RevenueStreams!$E$32</f>
        <v>Per Hr</v>
      </c>
      <c r="N369" s="461">
        <f>L369*RevenueStreams!$D$32</f>
        <v>98.453333333333319</v>
      </c>
      <c r="O369" s="457">
        <f>1*8*1</f>
        <v>8</v>
      </c>
      <c r="P369" s="460" t="str">
        <f>RevenueStreams!$E$32</f>
        <v>Per Hr</v>
      </c>
      <c r="Q369" s="461">
        <f>O369*RevenueStreams!$D$32</f>
        <v>98.453333333333319</v>
      </c>
      <c r="R369" s="457">
        <f>1*8*1</f>
        <v>8</v>
      </c>
      <c r="S369" s="460" t="str">
        <f>RevenueStreams!$E$32</f>
        <v>Per Hr</v>
      </c>
      <c r="T369" s="461">
        <f>R369*RevenueStreams!$D$32</f>
        <v>98.453333333333319</v>
      </c>
      <c r="U369" s="457">
        <v>0</v>
      </c>
      <c r="V369" s="460" t="str">
        <f>RevenueStreams!$E$32</f>
        <v>Per Hr</v>
      </c>
      <c r="W369" s="461">
        <f>U369*RevenueStreams!$D$32</f>
        <v>0</v>
      </c>
      <c r="X369" s="457">
        <v>0</v>
      </c>
      <c r="Y369" s="460" t="str">
        <f>RevenueStreams!$E$32</f>
        <v>Per Hr</v>
      </c>
      <c r="Z369" s="461">
        <f>X369*RevenueStreams!$D$32</f>
        <v>0</v>
      </c>
      <c r="AA369" s="457">
        <v>0</v>
      </c>
      <c r="AB369" s="460" t="str">
        <f>RevenueStreams!$E$32</f>
        <v>Per Hr</v>
      </c>
      <c r="AC369" s="461">
        <f>AA369*RevenueStreams!$D$32</f>
        <v>0</v>
      </c>
      <c r="AD369" s="457">
        <v>0</v>
      </c>
      <c r="AE369" s="460" t="str">
        <f>RevenueStreams!$E$32</f>
        <v>Per Hr</v>
      </c>
      <c r="AF369" s="461">
        <f>AD369*RevenueStreams!$D$32</f>
        <v>0</v>
      </c>
      <c r="AG369" s="457">
        <v>0</v>
      </c>
      <c r="AH369" s="460" t="str">
        <f>RevenueStreams!$E$32</f>
        <v>Per Hr</v>
      </c>
      <c r="AI369" s="461">
        <f>AG369*RevenueStreams!$D$32</f>
        <v>0</v>
      </c>
      <c r="AJ369" s="457">
        <v>0</v>
      </c>
      <c r="AK369" s="460" t="str">
        <f>RevenueStreams!$E$32</f>
        <v>Per Hr</v>
      </c>
      <c r="AL369" s="461">
        <f>AJ369*RevenueStreams!$D$32</f>
        <v>0</v>
      </c>
    </row>
    <row r="370" spans="1:41" x14ac:dyDescent="0.35">
      <c r="A370" s="471">
        <f t="shared" si="21"/>
        <v>8924.9279999999981</v>
      </c>
      <c r="B370" s="459" t="s">
        <v>508</v>
      </c>
      <c r="C370" s="457">
        <f>8*3*2</f>
        <v>48</v>
      </c>
      <c r="D370" s="460" t="str">
        <f>RevenueStreams!$E$33</f>
        <v>Per Hr</v>
      </c>
      <c r="E370" s="461">
        <f>C370*RevenueStreams!$D$33</f>
        <v>743.74400000000003</v>
      </c>
      <c r="F370" s="457">
        <f>8*3*2</f>
        <v>48</v>
      </c>
      <c r="G370" s="460" t="str">
        <f>RevenueStreams!$E$33</f>
        <v>Per Hr</v>
      </c>
      <c r="H370" s="461">
        <f>F370*RevenueStreams!$D$33</f>
        <v>743.74400000000003</v>
      </c>
      <c r="I370" s="457">
        <f>8*3*2</f>
        <v>48</v>
      </c>
      <c r="J370" s="460" t="str">
        <f>RevenueStreams!$E$33</f>
        <v>Per Hr</v>
      </c>
      <c r="K370" s="461">
        <f>I370*RevenueStreams!$D$33</f>
        <v>743.74400000000003</v>
      </c>
      <c r="L370" s="457">
        <f>8*3*2</f>
        <v>48</v>
      </c>
      <c r="M370" s="460" t="str">
        <f>RevenueStreams!$E$33</f>
        <v>Per Hr</v>
      </c>
      <c r="N370" s="461">
        <f>L370*RevenueStreams!$D$33</f>
        <v>743.74400000000003</v>
      </c>
      <c r="O370" s="457">
        <f>8*3*2</f>
        <v>48</v>
      </c>
      <c r="P370" s="460" t="str">
        <f>RevenueStreams!$E$33</f>
        <v>Per Hr</v>
      </c>
      <c r="Q370" s="461">
        <f>O370*RevenueStreams!$D$33</f>
        <v>743.74400000000003</v>
      </c>
      <c r="R370" s="457">
        <f>8*3*2</f>
        <v>48</v>
      </c>
      <c r="S370" s="460" t="str">
        <f>RevenueStreams!$E$33</f>
        <v>Per Hr</v>
      </c>
      <c r="T370" s="461">
        <f>R370*RevenueStreams!$D$33</f>
        <v>743.74400000000003</v>
      </c>
      <c r="U370" s="457">
        <f>8*3*2</f>
        <v>48</v>
      </c>
      <c r="V370" s="460" t="str">
        <f>RevenueStreams!$E$33</f>
        <v>Per Hr</v>
      </c>
      <c r="W370" s="461">
        <f>U370*RevenueStreams!$D$33</f>
        <v>743.74400000000003</v>
      </c>
      <c r="X370" s="457">
        <f>8*3*2</f>
        <v>48</v>
      </c>
      <c r="Y370" s="460" t="str">
        <f>RevenueStreams!$E$33</f>
        <v>Per Hr</v>
      </c>
      <c r="Z370" s="461">
        <f>X370*RevenueStreams!$D$33</f>
        <v>743.74400000000003</v>
      </c>
      <c r="AA370" s="457">
        <f>8*3*2</f>
        <v>48</v>
      </c>
      <c r="AB370" s="460" t="str">
        <f>RevenueStreams!$E$33</f>
        <v>Per Hr</v>
      </c>
      <c r="AC370" s="461">
        <f>AA370*RevenueStreams!$D$33</f>
        <v>743.74400000000003</v>
      </c>
      <c r="AD370" s="457">
        <f>8*3*2</f>
        <v>48</v>
      </c>
      <c r="AE370" s="460" t="str">
        <f>RevenueStreams!$E$33</f>
        <v>Per Hr</v>
      </c>
      <c r="AF370" s="461">
        <f>AD370*RevenueStreams!$D$33</f>
        <v>743.74400000000003</v>
      </c>
      <c r="AG370" s="457">
        <f>8*3*2</f>
        <v>48</v>
      </c>
      <c r="AH370" s="460" t="str">
        <f>RevenueStreams!$E$33</f>
        <v>Per Hr</v>
      </c>
      <c r="AI370" s="461">
        <f>AG370*RevenueStreams!$D$33</f>
        <v>743.74400000000003</v>
      </c>
      <c r="AJ370" s="457">
        <f>8*3*2</f>
        <v>48</v>
      </c>
      <c r="AK370" s="460" t="str">
        <f>RevenueStreams!$E$33</f>
        <v>Per Hr</v>
      </c>
      <c r="AL370" s="461">
        <f>AJ370*RevenueStreams!$D$33</f>
        <v>743.74400000000003</v>
      </c>
    </row>
    <row r="371" spans="1:41" x14ac:dyDescent="0.35">
      <c r="A371" s="471">
        <f>SUM(E371,H371,K371,N371,Q371,T371,W371,Z371,AC371,AF371,AI371,AL371)</f>
        <v>9600</v>
      </c>
      <c r="B371" s="459" t="s">
        <v>520</v>
      </c>
      <c r="C371" s="457">
        <f>1*8*2</f>
        <v>16</v>
      </c>
      <c r="D371" s="460" t="str">
        <f>RevenueStreams!$E$34</f>
        <v>Per Hr</v>
      </c>
      <c r="E371" s="461">
        <f>C371*RevenueStreams!$D$34</f>
        <v>800</v>
      </c>
      <c r="F371" s="457">
        <f>1*8*2</f>
        <v>16</v>
      </c>
      <c r="G371" s="460" t="str">
        <f>RevenueStreams!$E$34</f>
        <v>Per Hr</v>
      </c>
      <c r="H371" s="461">
        <f>F371*RevenueStreams!$D$34</f>
        <v>800</v>
      </c>
      <c r="I371" s="457">
        <f>1*8*2</f>
        <v>16</v>
      </c>
      <c r="J371" s="460" t="str">
        <f>RevenueStreams!$E$34</f>
        <v>Per Hr</v>
      </c>
      <c r="K371" s="461">
        <f>I371*RevenueStreams!$D$34</f>
        <v>800</v>
      </c>
      <c r="L371" s="457">
        <f>1*8*2</f>
        <v>16</v>
      </c>
      <c r="M371" s="460" t="str">
        <f>RevenueStreams!$E$34</f>
        <v>Per Hr</v>
      </c>
      <c r="N371" s="461">
        <f>L371*RevenueStreams!$D$34</f>
        <v>800</v>
      </c>
      <c r="O371" s="457">
        <f>1*8*2</f>
        <v>16</v>
      </c>
      <c r="P371" s="460" t="str">
        <f>RevenueStreams!$E$34</f>
        <v>Per Hr</v>
      </c>
      <c r="Q371" s="461">
        <f>O371*RevenueStreams!$D$34</f>
        <v>800</v>
      </c>
      <c r="R371" s="457">
        <f>1*8*2</f>
        <v>16</v>
      </c>
      <c r="S371" s="460" t="str">
        <f>RevenueStreams!$E$34</f>
        <v>Per Hr</v>
      </c>
      <c r="T371" s="461">
        <f>R371*RevenueStreams!$D$34</f>
        <v>800</v>
      </c>
      <c r="U371" s="457">
        <f>1*8*2</f>
        <v>16</v>
      </c>
      <c r="V371" s="460" t="str">
        <f>RevenueStreams!$E$34</f>
        <v>Per Hr</v>
      </c>
      <c r="W371" s="461">
        <f>U371*RevenueStreams!$D$34</f>
        <v>800</v>
      </c>
      <c r="X371" s="457">
        <f>1*8*2</f>
        <v>16</v>
      </c>
      <c r="Y371" s="460" t="str">
        <f>RevenueStreams!$E$34</f>
        <v>Per Hr</v>
      </c>
      <c r="Z371" s="461">
        <f>X371*RevenueStreams!$D$34</f>
        <v>800</v>
      </c>
      <c r="AA371" s="457">
        <f>1*8*2</f>
        <v>16</v>
      </c>
      <c r="AB371" s="460" t="str">
        <f>RevenueStreams!$E$34</f>
        <v>Per Hr</v>
      </c>
      <c r="AC371" s="461">
        <f>AA371*RevenueStreams!$D$34</f>
        <v>800</v>
      </c>
      <c r="AD371" s="457">
        <f>1*8*2</f>
        <v>16</v>
      </c>
      <c r="AE371" s="460" t="str">
        <f>RevenueStreams!$E$34</f>
        <v>Per Hr</v>
      </c>
      <c r="AF371" s="461">
        <f>AD371*RevenueStreams!$D$34</f>
        <v>800</v>
      </c>
      <c r="AG371" s="457">
        <f>1*8*2</f>
        <v>16</v>
      </c>
      <c r="AH371" s="460" t="str">
        <f>RevenueStreams!$E$34</f>
        <v>Per Hr</v>
      </c>
      <c r="AI371" s="461">
        <f>AG371*RevenueStreams!$D$34</f>
        <v>800</v>
      </c>
      <c r="AJ371" s="457">
        <f>1*8*2</f>
        <v>16</v>
      </c>
      <c r="AK371" s="460" t="str">
        <f>RevenueStreams!$E$34</f>
        <v>Per Hr</v>
      </c>
      <c r="AL371" s="461">
        <f>AJ371*RevenueStreams!$D$34</f>
        <v>800</v>
      </c>
    </row>
    <row r="372" spans="1:41" x14ac:dyDescent="0.35">
      <c r="A372" s="472"/>
      <c r="B372" s="459" t="s">
        <v>499</v>
      </c>
      <c r="C372" s="457">
        <v>0</v>
      </c>
      <c r="D372" s="460" t="str">
        <f>RevenueStreams!$E$36</f>
        <v>% of Charged</v>
      </c>
      <c r="E372" s="461">
        <f>C372*RevenueStreams!$D$36</f>
        <v>0</v>
      </c>
      <c r="F372" s="457">
        <v>0</v>
      </c>
      <c r="G372" s="460" t="str">
        <f>RevenueStreams!$E$36</f>
        <v>% of Charged</v>
      </c>
      <c r="H372" s="461">
        <f>F372*RevenueStreams!$D$36</f>
        <v>0</v>
      </c>
      <c r="I372" s="457">
        <v>0</v>
      </c>
      <c r="J372" s="460" t="str">
        <f>RevenueStreams!$E$36</f>
        <v>% of Charged</v>
      </c>
      <c r="K372" s="461">
        <f>I372*RevenueStreams!$D$36</f>
        <v>0</v>
      </c>
      <c r="L372" s="457">
        <v>0</v>
      </c>
      <c r="M372" s="460" t="str">
        <f>RevenueStreams!$E$36</f>
        <v>% of Charged</v>
      </c>
      <c r="N372" s="461">
        <f>L372*RevenueStreams!$D$36</f>
        <v>0</v>
      </c>
      <c r="O372" s="457">
        <v>0</v>
      </c>
      <c r="P372" s="460" t="str">
        <f>RevenueStreams!$E$36</f>
        <v>% of Charged</v>
      </c>
      <c r="Q372" s="461">
        <f>O372*RevenueStreams!$D$36</f>
        <v>0</v>
      </c>
      <c r="R372" s="457">
        <v>0</v>
      </c>
      <c r="S372" s="460" t="str">
        <f>RevenueStreams!$E$36</f>
        <v>% of Charged</v>
      </c>
      <c r="T372" s="461">
        <f>R372*RevenueStreams!$D$36</f>
        <v>0</v>
      </c>
      <c r="U372" s="457">
        <v>0</v>
      </c>
      <c r="V372" s="460" t="str">
        <f>RevenueStreams!$E$36</f>
        <v>% of Charged</v>
      </c>
      <c r="W372" s="461">
        <f>U372*RevenueStreams!$D$36</f>
        <v>0</v>
      </c>
      <c r="X372" s="457">
        <v>0</v>
      </c>
      <c r="Y372" s="460" t="str">
        <f>RevenueStreams!$E$36</f>
        <v>% of Charged</v>
      </c>
      <c r="Z372" s="461">
        <f>X372*RevenueStreams!$D$36</f>
        <v>0</v>
      </c>
      <c r="AA372" s="457">
        <v>0</v>
      </c>
      <c r="AB372" s="460" t="str">
        <f>RevenueStreams!$E$36</f>
        <v>% of Charged</v>
      </c>
      <c r="AC372" s="461">
        <f>AA372*RevenueStreams!$D$36</f>
        <v>0</v>
      </c>
      <c r="AD372" s="457">
        <v>0</v>
      </c>
      <c r="AE372" s="460" t="str">
        <f>RevenueStreams!$E$36</f>
        <v>% of Charged</v>
      </c>
      <c r="AF372" s="461">
        <f>AD372*RevenueStreams!$D$36</f>
        <v>0</v>
      </c>
      <c r="AG372" s="457">
        <v>0</v>
      </c>
      <c r="AH372" s="460" t="str">
        <f>RevenueStreams!$E$36</f>
        <v>% of Charged</v>
      </c>
      <c r="AI372" s="461">
        <f>AG372*RevenueStreams!$D$36</f>
        <v>0</v>
      </c>
      <c r="AJ372" s="457">
        <v>0</v>
      </c>
      <c r="AK372" s="460" t="str">
        <f>RevenueStreams!$E$36</f>
        <v>% of Charged</v>
      </c>
      <c r="AL372" s="461">
        <f>AJ372*RevenueStreams!$D$36</f>
        <v>0</v>
      </c>
    </row>
    <row r="373" spans="1:41" x14ac:dyDescent="0.35">
      <c r="A373" s="469">
        <f>SUM(E373,H373,K373,N373,Q373,T373,W373,Z373,AC373,AF373,AI373,AL373)</f>
        <v>80293.376360000009</v>
      </c>
      <c r="B373" s="509" t="s">
        <v>718</v>
      </c>
      <c r="C373" s="519">
        <f>SUM(C350:C372)</f>
        <v>219</v>
      </c>
      <c r="D373" s="511"/>
      <c r="E373" s="510">
        <f>SUM(E350:E372)</f>
        <v>4796.7440000000006</v>
      </c>
      <c r="F373" s="519">
        <f>SUM(F350:F372)</f>
        <v>238</v>
      </c>
      <c r="G373" s="511"/>
      <c r="H373" s="510">
        <f>SUM(H350:H372)</f>
        <v>5491.7439999999997</v>
      </c>
      <c r="I373" s="519">
        <f>SUM(I350:I372)</f>
        <v>239</v>
      </c>
      <c r="J373" s="511"/>
      <c r="K373" s="510">
        <f>SUM(K350:K372)</f>
        <v>5779.7439999999997</v>
      </c>
      <c r="L373" s="519">
        <f>SUM(L350:L372)</f>
        <v>334</v>
      </c>
      <c r="M373" s="511"/>
      <c r="N373" s="510">
        <f>SUM(N350:N372)</f>
        <v>8913.4574533333325</v>
      </c>
      <c r="O373" s="519">
        <f>SUM(O350:O372)</f>
        <v>367</v>
      </c>
      <c r="P373" s="511"/>
      <c r="Q373" s="510">
        <f>SUM(Q350:Q372)</f>
        <v>10866.611453333333</v>
      </c>
      <c r="R373" s="519">
        <f>SUM(R350:R372)</f>
        <v>383</v>
      </c>
      <c r="S373" s="511"/>
      <c r="T373" s="510">
        <f>SUM(T350:T372)</f>
        <v>11274.611453333333</v>
      </c>
      <c r="U373" s="519">
        <f>SUM(U350:U372)</f>
        <v>287</v>
      </c>
      <c r="V373" s="511"/>
      <c r="W373" s="510">
        <f>SUM(W350:W372)</f>
        <v>6631.7439999999997</v>
      </c>
      <c r="X373" s="519">
        <f>SUM(X350:X372)</f>
        <v>215</v>
      </c>
      <c r="Y373" s="511"/>
      <c r="Z373" s="510">
        <f>SUM(Z350:Z372)</f>
        <v>5539.7439999999997</v>
      </c>
      <c r="AA373" s="519">
        <f>SUM(AA350:AA372)</f>
        <v>215</v>
      </c>
      <c r="AB373" s="511"/>
      <c r="AC373" s="510">
        <f>SUM(AC350:AC372)</f>
        <v>5539.7439999999997</v>
      </c>
      <c r="AD373" s="519">
        <f>SUM(AD350:AD372)</f>
        <v>183</v>
      </c>
      <c r="AE373" s="511"/>
      <c r="AF373" s="510">
        <f>SUM(AF350:AF372)</f>
        <v>5219.7439999999997</v>
      </c>
      <c r="AG373" s="519">
        <f>SUM(AG350:AG372)</f>
        <v>175</v>
      </c>
      <c r="AH373" s="511"/>
      <c r="AI373" s="510">
        <f>SUM(AI350:AI372)</f>
        <v>5019.7439999999997</v>
      </c>
      <c r="AJ373" s="519">
        <f>SUM(AJ350:AJ372)</f>
        <v>183</v>
      </c>
      <c r="AK373" s="511"/>
      <c r="AL373" s="510">
        <f>SUM(AL350:AL372)</f>
        <v>5219.7439999999997</v>
      </c>
    </row>
    <row r="375" spans="1:41" x14ac:dyDescent="0.35">
      <c r="A375" s="507" t="s">
        <v>653</v>
      </c>
      <c r="B375" s="508" t="s">
        <v>719</v>
      </c>
      <c r="C375" s="501" t="s">
        <v>33</v>
      </c>
      <c r="D375" s="502"/>
      <c r="E375" s="503" t="s">
        <v>320</v>
      </c>
      <c r="F375" s="501" t="s">
        <v>33</v>
      </c>
      <c r="G375" s="502"/>
      <c r="H375" s="503" t="s">
        <v>320</v>
      </c>
      <c r="I375" s="501" t="s">
        <v>33</v>
      </c>
      <c r="J375" s="502"/>
      <c r="K375" s="503" t="s">
        <v>320</v>
      </c>
      <c r="L375" s="501" t="s">
        <v>33</v>
      </c>
      <c r="M375" s="502"/>
      <c r="N375" s="503" t="s">
        <v>320</v>
      </c>
      <c r="O375" s="501" t="s">
        <v>33</v>
      </c>
      <c r="P375" s="502"/>
      <c r="Q375" s="503" t="s">
        <v>320</v>
      </c>
      <c r="R375" s="501" t="s">
        <v>33</v>
      </c>
      <c r="S375" s="502"/>
      <c r="T375" s="503" t="s">
        <v>320</v>
      </c>
      <c r="U375" s="501" t="s">
        <v>33</v>
      </c>
      <c r="V375" s="502"/>
      <c r="W375" s="503" t="s">
        <v>320</v>
      </c>
      <c r="X375" s="501" t="s">
        <v>33</v>
      </c>
      <c r="Y375" s="502"/>
      <c r="Z375" s="503" t="s">
        <v>320</v>
      </c>
      <c r="AA375" s="501" t="s">
        <v>33</v>
      </c>
      <c r="AB375" s="502"/>
      <c r="AC375" s="503" t="s">
        <v>320</v>
      </c>
      <c r="AD375" s="501" t="s">
        <v>33</v>
      </c>
      <c r="AE375" s="502"/>
      <c r="AF375" s="503" t="s">
        <v>320</v>
      </c>
      <c r="AG375" s="501" t="s">
        <v>33</v>
      </c>
      <c r="AH375" s="502"/>
      <c r="AI375" s="503" t="s">
        <v>320</v>
      </c>
      <c r="AJ375" s="501" t="s">
        <v>33</v>
      </c>
      <c r="AK375" s="502"/>
      <c r="AL375" s="503" t="s">
        <v>320</v>
      </c>
    </row>
    <row r="376" spans="1:41" x14ac:dyDescent="0.35">
      <c r="A376" s="471">
        <f>SUM(E376,H376,K376,N376,Q376,T376,W376,Z376,AC376,AF376,AI376,AL376)</f>
        <v>49308.480000000003</v>
      </c>
      <c r="B376" s="506">
        <f>Payroll!B345</f>
        <v>0</v>
      </c>
      <c r="C376" s="517">
        <v>120</v>
      </c>
      <c r="D376" s="504"/>
      <c r="E376" s="461">
        <f>C376*Payroll!$O$19/(50*5*8/12)</f>
        <v>4109.04</v>
      </c>
      <c r="F376" s="517">
        <v>120</v>
      </c>
      <c r="G376" s="504"/>
      <c r="H376" s="461">
        <f>F376*Payroll!$O$19/(50*5*8/12)</f>
        <v>4109.04</v>
      </c>
      <c r="I376" s="517">
        <v>120</v>
      </c>
      <c r="J376" s="504"/>
      <c r="K376" s="461">
        <f>I376*Payroll!$O$19/(50*5*8/12)</f>
        <v>4109.04</v>
      </c>
      <c r="L376" s="517">
        <v>120</v>
      </c>
      <c r="M376" s="504"/>
      <c r="N376" s="461">
        <f>L376*Payroll!$O$19/(50*5*8/12)</f>
        <v>4109.04</v>
      </c>
      <c r="O376" s="517">
        <v>120</v>
      </c>
      <c r="P376" s="504"/>
      <c r="Q376" s="461">
        <f>O376*Payroll!$O$19/(50*5*8/12)</f>
        <v>4109.04</v>
      </c>
      <c r="R376" s="517">
        <v>120</v>
      </c>
      <c r="S376" s="504"/>
      <c r="T376" s="461">
        <f>R376*Payroll!$O$19/(50*5*8/12)</f>
        <v>4109.04</v>
      </c>
      <c r="U376" s="517">
        <v>120</v>
      </c>
      <c r="V376" s="504"/>
      <c r="W376" s="461">
        <f>U376*Payroll!$O$19/(50*5*8/12)</f>
        <v>4109.04</v>
      </c>
      <c r="X376" s="517">
        <v>120</v>
      </c>
      <c r="Y376" s="504"/>
      <c r="Z376" s="461">
        <f>X376*Payroll!$O$19/(50*5*8/12)</f>
        <v>4109.04</v>
      </c>
      <c r="AA376" s="517">
        <v>120</v>
      </c>
      <c r="AB376" s="504"/>
      <c r="AC376" s="461">
        <f>AA376*Payroll!$O$19/(50*5*8/12)</f>
        <v>4109.04</v>
      </c>
      <c r="AD376" s="517">
        <v>120</v>
      </c>
      <c r="AE376" s="504"/>
      <c r="AF376" s="461">
        <f>AD376*Payroll!$O$19/(50*5*8/12)</f>
        <v>4109.04</v>
      </c>
      <c r="AG376" s="517">
        <v>120</v>
      </c>
      <c r="AH376" s="504"/>
      <c r="AI376" s="461">
        <f>AG376*Payroll!$O$19/(50*5*8/12)</f>
        <v>4109.04</v>
      </c>
      <c r="AJ376" s="517">
        <v>120</v>
      </c>
      <c r="AK376" s="504"/>
      <c r="AL376" s="461">
        <f>AJ376*Payroll!$O$19/(50*5*8/12)</f>
        <v>4109.04</v>
      </c>
      <c r="AN376" s="114" t="s">
        <v>744</v>
      </c>
      <c r="AO376" s="446">
        <f>SUM(A376:A382)</f>
        <v>98616.960000000006</v>
      </c>
    </row>
    <row r="377" spans="1:41" x14ac:dyDescent="0.35">
      <c r="A377" s="471">
        <f>SUM(E377,H377,K377,N377,Q377,T377,W377,Z377,AC377,AF377,AI377,AL377)</f>
        <v>0</v>
      </c>
      <c r="B377" s="506">
        <f>Payroll!B346</f>
        <v>0</v>
      </c>
      <c r="C377" s="517"/>
      <c r="D377" s="504"/>
      <c r="E377" s="461">
        <f>C377*Payroll!$O$19/(50*5*8/12)</f>
        <v>0</v>
      </c>
      <c r="F377" s="517"/>
      <c r="G377" s="504"/>
      <c r="H377" s="461">
        <f>F377*Payroll!$O$19/(50*5*8/12)</f>
        <v>0</v>
      </c>
      <c r="I377" s="517"/>
      <c r="J377" s="504"/>
      <c r="K377" s="461">
        <f>I377*Payroll!$O$19/(50*5*8/12)</f>
        <v>0</v>
      </c>
      <c r="L377" s="517"/>
      <c r="M377" s="504"/>
      <c r="N377" s="461">
        <f>L377*Payroll!$O$19/(50*5*8/12)</f>
        <v>0</v>
      </c>
      <c r="O377" s="517"/>
      <c r="P377" s="504"/>
      <c r="Q377" s="461">
        <f>O377*Payroll!$O$19/(50*5*8/12)</f>
        <v>0</v>
      </c>
      <c r="R377" s="517"/>
      <c r="S377" s="504"/>
      <c r="T377" s="461">
        <f>R377*Payroll!$O$19/(50*5*8/12)</f>
        <v>0</v>
      </c>
      <c r="U377" s="517"/>
      <c r="V377" s="504"/>
      <c r="W377" s="461">
        <f>U377*Payroll!$O$19/(50*5*8/12)</f>
        <v>0</v>
      </c>
      <c r="X377" s="517"/>
      <c r="Y377" s="504"/>
      <c r="Z377" s="461">
        <f>X377*Payroll!$O$19/(50*5*8/12)</f>
        <v>0</v>
      </c>
      <c r="AA377" s="517"/>
      <c r="AB377" s="504"/>
      <c r="AC377" s="461">
        <f>AA377*Payroll!$O$19/(50*5*8/12)</f>
        <v>0</v>
      </c>
      <c r="AD377" s="517"/>
      <c r="AE377" s="504"/>
      <c r="AF377" s="461">
        <f>AD377*Payroll!$O$19/(50*5*8/12)</f>
        <v>0</v>
      </c>
      <c r="AG377" s="517"/>
      <c r="AH377" s="504"/>
      <c r="AI377" s="461">
        <f>AG377*Payroll!$O$19/(50*5*8/12)</f>
        <v>0</v>
      </c>
      <c r="AJ377" s="517"/>
      <c r="AK377" s="504"/>
      <c r="AL377" s="461">
        <f>AJ377*Payroll!$O$19/(50*5*8/12)</f>
        <v>0</v>
      </c>
      <c r="AN377" s="114" t="s">
        <v>745</v>
      </c>
      <c r="AO377" s="446">
        <f>SUM(A387,A388,A389,A394,A396,A397,A398,A400)</f>
        <v>35400</v>
      </c>
    </row>
    <row r="378" spans="1:41" x14ac:dyDescent="0.35">
      <c r="A378" s="471">
        <f>SUM(E378,H378,K378,N378,Q378,T378,W378,Z378,AC378,AF378,AI378,AL378)</f>
        <v>49308.480000000003</v>
      </c>
      <c r="B378" s="506">
        <f>Payroll!B347</f>
        <v>0</v>
      </c>
      <c r="C378" s="517">
        <v>120</v>
      </c>
      <c r="D378" s="504"/>
      <c r="E378" s="461">
        <f>C378*Payroll!$O$19/(50*5*8/12)</f>
        <v>4109.04</v>
      </c>
      <c r="F378" s="517">
        <v>120</v>
      </c>
      <c r="G378" s="504"/>
      <c r="H378" s="461">
        <f>F378*Payroll!$O$19/(50*5*8/12)</f>
        <v>4109.04</v>
      </c>
      <c r="I378" s="517">
        <v>120</v>
      </c>
      <c r="J378" s="504"/>
      <c r="K378" s="461">
        <f>I378*Payroll!$O$19/(50*5*8/12)</f>
        <v>4109.04</v>
      </c>
      <c r="L378" s="517">
        <v>120</v>
      </c>
      <c r="M378" s="504"/>
      <c r="N378" s="461">
        <f>L378*Payroll!$O$19/(50*5*8/12)</f>
        <v>4109.04</v>
      </c>
      <c r="O378" s="517">
        <v>120</v>
      </c>
      <c r="P378" s="504"/>
      <c r="Q378" s="461">
        <f>O378*Payroll!$O$19/(50*5*8/12)</f>
        <v>4109.04</v>
      </c>
      <c r="R378" s="517">
        <v>120</v>
      </c>
      <c r="S378" s="504"/>
      <c r="T378" s="461">
        <f>R378*Payroll!$O$19/(50*5*8/12)</f>
        <v>4109.04</v>
      </c>
      <c r="U378" s="517">
        <v>120</v>
      </c>
      <c r="V378" s="504"/>
      <c r="W378" s="461">
        <f>U378*Payroll!$O$19/(50*5*8/12)</f>
        <v>4109.04</v>
      </c>
      <c r="X378" s="517">
        <v>120</v>
      </c>
      <c r="Y378" s="504"/>
      <c r="Z378" s="461">
        <f>X378*Payroll!$O$19/(50*5*8/12)</f>
        <v>4109.04</v>
      </c>
      <c r="AA378" s="517">
        <v>120</v>
      </c>
      <c r="AB378" s="504"/>
      <c r="AC378" s="461">
        <f>AA378*Payroll!$O$19/(50*5*8/12)</f>
        <v>4109.04</v>
      </c>
      <c r="AD378" s="517">
        <v>120</v>
      </c>
      <c r="AE378" s="504"/>
      <c r="AF378" s="461">
        <f>AD378*Payroll!$O$19/(50*5*8/12)</f>
        <v>4109.04</v>
      </c>
      <c r="AG378" s="517">
        <v>120</v>
      </c>
      <c r="AH378" s="504"/>
      <c r="AI378" s="461">
        <f>AG378*Payroll!$O$19/(50*5*8/12)</f>
        <v>4109.04</v>
      </c>
      <c r="AJ378" s="517">
        <v>120</v>
      </c>
      <c r="AK378" s="504"/>
      <c r="AL378" s="461">
        <f>AJ378*Payroll!$O$19/(50*5*8/12)</f>
        <v>4109.04</v>
      </c>
      <c r="AN378" s="114" t="s">
        <v>746</v>
      </c>
      <c r="AO378" s="446">
        <f>SUM(A388,A390,A392,A393,A401)</f>
        <v>14050</v>
      </c>
    </row>
    <row r="379" spans="1:41" x14ac:dyDescent="0.35">
      <c r="A379" s="471">
        <f>SUM(E379,H379,K379,N379,Q379,T379,W379,Z379,AC379,AF379,AI379,AL379)</f>
        <v>0</v>
      </c>
      <c r="B379" s="506">
        <f>Payroll!B348</f>
        <v>0</v>
      </c>
      <c r="C379" s="517"/>
      <c r="D379" s="504"/>
      <c r="E379" s="461">
        <f>C379*Payroll!$O$19/(50*5*8/12)</f>
        <v>0</v>
      </c>
      <c r="F379" s="517"/>
      <c r="G379" s="504"/>
      <c r="H379" s="461">
        <f>F379*Payroll!$O$19/(50*5*8/12)</f>
        <v>0</v>
      </c>
      <c r="I379" s="517"/>
      <c r="J379" s="504"/>
      <c r="K379" s="461">
        <f>I379*Payroll!$O$19/(50*5*8/12)</f>
        <v>0</v>
      </c>
      <c r="L379" s="517"/>
      <c r="M379" s="504"/>
      <c r="N379" s="461">
        <f>L379*Payroll!$O$19/(50*5*8/12)</f>
        <v>0</v>
      </c>
      <c r="O379" s="517"/>
      <c r="P379" s="504"/>
      <c r="Q379" s="461">
        <f>O379*Payroll!$O$19/(50*5*8/12)</f>
        <v>0</v>
      </c>
      <c r="R379" s="517"/>
      <c r="S379" s="504"/>
      <c r="T379" s="461">
        <f>R379*Payroll!$O$19/(50*5*8/12)</f>
        <v>0</v>
      </c>
      <c r="U379" s="517"/>
      <c r="V379" s="504"/>
      <c r="W379" s="461">
        <f>U379*Payroll!$O$19/(50*5*8/12)</f>
        <v>0</v>
      </c>
      <c r="X379" s="517"/>
      <c r="Y379" s="504"/>
      <c r="Z379" s="461">
        <f>X379*Payroll!$O$19/(50*5*8/12)</f>
        <v>0</v>
      </c>
      <c r="AA379" s="517"/>
      <c r="AB379" s="504"/>
      <c r="AC379" s="461">
        <f>AA379*Payroll!$O$19/(50*5*8/12)</f>
        <v>0</v>
      </c>
      <c r="AD379" s="517"/>
      <c r="AE379" s="504"/>
      <c r="AF379" s="461">
        <f>AD379*Payroll!$O$19/(50*5*8/12)</f>
        <v>0</v>
      </c>
      <c r="AG379" s="517"/>
      <c r="AH379" s="504"/>
      <c r="AI379" s="461">
        <f>AG379*Payroll!$O$19/(50*5*8/12)</f>
        <v>0</v>
      </c>
      <c r="AJ379" s="517"/>
      <c r="AK379" s="504"/>
      <c r="AL379" s="461">
        <f>AJ379*Payroll!$O$19/(50*5*8/12)</f>
        <v>0</v>
      </c>
      <c r="AN379" s="114" t="s">
        <v>747</v>
      </c>
      <c r="AO379" s="446">
        <f>SUM(A391,A386,A399)</f>
        <v>8400</v>
      </c>
    </row>
    <row r="380" spans="1:41" x14ac:dyDescent="0.35">
      <c r="A380" s="471">
        <f>SUM(E380,H380,K380,N380,Q380,T380,W380,Z380,AC380,AF380,AI380,AL380)</f>
        <v>0</v>
      </c>
      <c r="B380" s="506">
        <f>Payroll!B349</f>
        <v>0</v>
      </c>
      <c r="C380" s="517"/>
      <c r="D380" s="504"/>
      <c r="E380" s="461">
        <f>C380*Payroll!$O$19/(50*5*8/12)</f>
        <v>0</v>
      </c>
      <c r="F380" s="517"/>
      <c r="G380" s="504"/>
      <c r="H380" s="461">
        <f>F380*Payroll!$O$19/(50*5*8/12)</f>
        <v>0</v>
      </c>
      <c r="I380" s="517"/>
      <c r="J380" s="504"/>
      <c r="K380" s="461">
        <f>I380*Payroll!$O$19/(50*5*8/12)</f>
        <v>0</v>
      </c>
      <c r="L380" s="517"/>
      <c r="M380" s="504"/>
      <c r="N380" s="461">
        <f>L380*Payroll!$O$19/(50*5*8/12)</f>
        <v>0</v>
      </c>
      <c r="O380" s="517"/>
      <c r="P380" s="504"/>
      <c r="Q380" s="461">
        <f>O380*Payroll!$O$19/(50*5*8/12)</f>
        <v>0</v>
      </c>
      <c r="R380" s="517"/>
      <c r="S380" s="504"/>
      <c r="T380" s="461">
        <f>R380*Payroll!$O$19/(50*5*8/12)</f>
        <v>0</v>
      </c>
      <c r="U380" s="517"/>
      <c r="V380" s="504"/>
      <c r="W380" s="461">
        <f>U380*Payroll!$O$19/(50*5*8/12)</f>
        <v>0</v>
      </c>
      <c r="X380" s="517"/>
      <c r="Y380" s="504"/>
      <c r="Z380" s="461">
        <f>X380*Payroll!$O$19/(50*5*8/12)</f>
        <v>0</v>
      </c>
      <c r="AA380" s="517"/>
      <c r="AB380" s="504"/>
      <c r="AC380" s="461">
        <f>AA380*Payroll!$O$19/(50*5*8/12)</f>
        <v>0</v>
      </c>
      <c r="AD380" s="517"/>
      <c r="AE380" s="504"/>
      <c r="AF380" s="461">
        <f>AD380*Payroll!$O$19/(50*5*8/12)</f>
        <v>0</v>
      </c>
      <c r="AG380" s="517"/>
      <c r="AH380" s="504"/>
      <c r="AI380" s="461">
        <f>AG380*Payroll!$O$19/(50*5*8/12)</f>
        <v>0</v>
      </c>
      <c r="AJ380" s="517"/>
      <c r="AK380" s="504"/>
      <c r="AL380" s="461">
        <f>AJ380*Payroll!$O$19/(50*5*8/12)</f>
        <v>0</v>
      </c>
    </row>
    <row r="381" spans="1:41" x14ac:dyDescent="0.35">
      <c r="A381" s="471">
        <f t="shared" ref="A381:A382" si="22">SUM(E381,H381,K381,N381,Q381,T381,W381,Z381,AC381,AF381,AI381,AL381)</f>
        <v>0</v>
      </c>
      <c r="B381" s="506">
        <f>Payroll!B350</f>
        <v>0</v>
      </c>
      <c r="C381" s="517"/>
      <c r="D381" s="504"/>
      <c r="E381" s="461">
        <f>C381*Payroll!$O$19/(50*5*8/12)</f>
        <v>0</v>
      </c>
      <c r="F381" s="517"/>
      <c r="G381" s="504"/>
      <c r="H381" s="461">
        <f>F381*Payroll!$O$19/(50*5*8/12)</f>
        <v>0</v>
      </c>
      <c r="I381" s="517"/>
      <c r="J381" s="504"/>
      <c r="K381" s="461">
        <f>I381*Payroll!$O$19/(50*5*8/12)</f>
        <v>0</v>
      </c>
      <c r="L381" s="517"/>
      <c r="M381" s="504"/>
      <c r="N381" s="461">
        <f>L381*Payroll!$O$19/(50*5*8/12)</f>
        <v>0</v>
      </c>
      <c r="O381" s="517"/>
      <c r="P381" s="504"/>
      <c r="Q381" s="461">
        <f>O381*Payroll!$O$19/(50*5*8/12)</f>
        <v>0</v>
      </c>
      <c r="R381" s="517"/>
      <c r="S381" s="504"/>
      <c r="T381" s="461">
        <f>R381*Payroll!$O$19/(50*5*8/12)</f>
        <v>0</v>
      </c>
      <c r="U381" s="517"/>
      <c r="V381" s="504"/>
      <c r="W381" s="461">
        <f>U381*Payroll!$O$19/(50*5*8/12)</f>
        <v>0</v>
      </c>
      <c r="X381" s="517"/>
      <c r="Y381" s="504"/>
      <c r="Z381" s="461">
        <f>X381*Payroll!$O$19/(50*5*8/12)</f>
        <v>0</v>
      </c>
      <c r="AA381" s="517"/>
      <c r="AB381" s="504"/>
      <c r="AC381" s="461">
        <f>AA381*Payroll!$O$19/(50*5*8/12)</f>
        <v>0</v>
      </c>
      <c r="AD381" s="517"/>
      <c r="AE381" s="504"/>
      <c r="AF381" s="461">
        <f>AD381*Payroll!$O$19/(50*5*8/12)</f>
        <v>0</v>
      </c>
      <c r="AG381" s="517"/>
      <c r="AH381" s="504"/>
      <c r="AI381" s="461">
        <f>AG381*Payroll!$O$19/(50*5*8/12)</f>
        <v>0</v>
      </c>
      <c r="AJ381" s="517"/>
      <c r="AK381" s="504"/>
      <c r="AL381" s="461">
        <f>AJ381*Payroll!$O$19/(50*5*8/12)</f>
        <v>0</v>
      </c>
    </row>
    <row r="382" spans="1:41" x14ac:dyDescent="0.35">
      <c r="A382" s="471">
        <f t="shared" si="22"/>
        <v>0</v>
      </c>
      <c r="B382" s="506">
        <f>Payroll!B351</f>
        <v>0</v>
      </c>
      <c r="C382" s="517"/>
      <c r="D382" s="504"/>
      <c r="E382" s="461">
        <f>C382*Payroll!$O$19/(50*5*8/12)</f>
        <v>0</v>
      </c>
      <c r="F382" s="517"/>
      <c r="G382" s="504"/>
      <c r="H382" s="461">
        <f>F382*Payroll!$O$19/(50*5*8/12)</f>
        <v>0</v>
      </c>
      <c r="I382" s="517"/>
      <c r="J382" s="504"/>
      <c r="K382" s="461">
        <f>I382*Payroll!$O$19/(50*5*8/12)</f>
        <v>0</v>
      </c>
      <c r="L382" s="517"/>
      <c r="M382" s="504"/>
      <c r="N382" s="461">
        <f>L382*Payroll!$O$19/(50*5*8/12)</f>
        <v>0</v>
      </c>
      <c r="O382" s="517"/>
      <c r="P382" s="504"/>
      <c r="Q382" s="461">
        <f>O382*Payroll!$O$19/(50*5*8/12)</f>
        <v>0</v>
      </c>
      <c r="R382" s="517"/>
      <c r="S382" s="504"/>
      <c r="T382" s="461">
        <f>R382*Payroll!$O$19/(50*5*8/12)</f>
        <v>0</v>
      </c>
      <c r="U382" s="517"/>
      <c r="V382" s="504"/>
      <c r="W382" s="461">
        <f>U382*Payroll!$O$19/(50*5*8/12)</f>
        <v>0</v>
      </c>
      <c r="X382" s="517"/>
      <c r="Y382" s="504"/>
      <c r="Z382" s="461">
        <f>X382*Payroll!$O$19/(50*5*8/12)</f>
        <v>0</v>
      </c>
      <c r="AA382" s="517"/>
      <c r="AB382" s="504"/>
      <c r="AC382" s="461">
        <f>AA382*Payroll!$O$19/(50*5*8/12)</f>
        <v>0</v>
      </c>
      <c r="AD382" s="517"/>
      <c r="AE382" s="504"/>
      <c r="AF382" s="461">
        <f>AD382*Payroll!$O$19/(50*5*8/12)</f>
        <v>0</v>
      </c>
      <c r="AG382" s="517"/>
      <c r="AH382" s="504"/>
      <c r="AI382" s="461">
        <f>AG382*Payroll!$O$19/(50*5*8/12)</f>
        <v>0</v>
      </c>
      <c r="AJ382" s="517"/>
      <c r="AK382" s="504"/>
      <c r="AL382" s="461">
        <f>AJ382*Payroll!$O$19/(50*5*8/12)</f>
        <v>0</v>
      </c>
    </row>
    <row r="383" spans="1:41" x14ac:dyDescent="0.35">
      <c r="A383" s="469">
        <f>SUM(E383,H383,K383,N383,Q383,T383,W383,Z383,AC383,AF383,AI383,AL383)</f>
        <v>98616.960000000006</v>
      </c>
      <c r="B383" s="509" t="s">
        <v>720</v>
      </c>
      <c r="C383" s="516">
        <f>SUM(C376:C380)</f>
        <v>240</v>
      </c>
      <c r="D383" s="511"/>
      <c r="E383" s="510">
        <f>SUM(E376:E382)</f>
        <v>8218.08</v>
      </c>
      <c r="F383" s="516">
        <f>SUM(F376:F380)</f>
        <v>240</v>
      </c>
      <c r="G383" s="511"/>
      <c r="H383" s="510">
        <f>SUM(H376:H382)</f>
        <v>8218.08</v>
      </c>
      <c r="I383" s="516">
        <f>SUM(I376:I380)</f>
        <v>240</v>
      </c>
      <c r="J383" s="511"/>
      <c r="K383" s="510">
        <f>SUM(K376:K382)</f>
        <v>8218.08</v>
      </c>
      <c r="L383" s="516">
        <f>SUM(L376:L380)</f>
        <v>240</v>
      </c>
      <c r="M383" s="511"/>
      <c r="N383" s="510">
        <f>SUM(N376:N382)</f>
        <v>8218.08</v>
      </c>
      <c r="O383" s="516">
        <f>SUM(O376:O380)</f>
        <v>240</v>
      </c>
      <c r="P383" s="511"/>
      <c r="Q383" s="510">
        <f>SUM(Q376:Q382)</f>
        <v>8218.08</v>
      </c>
      <c r="R383" s="516">
        <f>SUM(R376:R380)</f>
        <v>240</v>
      </c>
      <c r="S383" s="511"/>
      <c r="T383" s="510">
        <f>SUM(T376:T382)</f>
        <v>8218.08</v>
      </c>
      <c r="U383" s="516">
        <f>SUM(U376:U380)</f>
        <v>240</v>
      </c>
      <c r="V383" s="511"/>
      <c r="W383" s="510">
        <f>SUM(W376:W382)</f>
        <v>8218.08</v>
      </c>
      <c r="X383" s="516">
        <f>SUM(X376:X380)</f>
        <v>240</v>
      </c>
      <c r="Y383" s="511"/>
      <c r="Z383" s="510">
        <f>SUM(Z376:Z382)</f>
        <v>8218.08</v>
      </c>
      <c r="AA383" s="516">
        <f>SUM(AA376:AA380)</f>
        <v>240</v>
      </c>
      <c r="AB383" s="511"/>
      <c r="AC383" s="510">
        <f>SUM(AC376:AC382)</f>
        <v>8218.08</v>
      </c>
      <c r="AD383" s="516">
        <f>SUM(AD376:AD380)</f>
        <v>240</v>
      </c>
      <c r="AE383" s="511"/>
      <c r="AF383" s="510">
        <f>SUM(AF376:AF382)</f>
        <v>8218.08</v>
      </c>
      <c r="AG383" s="516">
        <f>SUM(AG376:AG380)</f>
        <v>240</v>
      </c>
      <c r="AH383" s="511"/>
      <c r="AI383" s="510">
        <f>SUM(AI376:AI382)</f>
        <v>8218.08</v>
      </c>
      <c r="AJ383" s="516">
        <f>SUM(AJ376:AJ380)</f>
        <v>240</v>
      </c>
      <c r="AK383" s="511"/>
      <c r="AL383" s="510">
        <f>SUM(AL376:AL382)</f>
        <v>8218.08</v>
      </c>
    </row>
    <row r="385" spans="1:38" x14ac:dyDescent="0.35">
      <c r="A385" s="507" t="s">
        <v>653</v>
      </c>
      <c r="B385" s="508" t="s">
        <v>721</v>
      </c>
      <c r="C385" s="544" t="s">
        <v>654</v>
      </c>
      <c r="D385" s="545"/>
      <c r="E385" s="477" t="s">
        <v>320</v>
      </c>
      <c r="F385" s="544" t="s">
        <v>654</v>
      </c>
      <c r="G385" s="545"/>
      <c r="H385" s="477" t="s">
        <v>320</v>
      </c>
      <c r="I385" s="544" t="s">
        <v>654</v>
      </c>
      <c r="J385" s="545"/>
      <c r="K385" s="477" t="s">
        <v>320</v>
      </c>
      <c r="L385" s="544" t="s">
        <v>654</v>
      </c>
      <c r="M385" s="545"/>
      <c r="N385" s="477" t="s">
        <v>320</v>
      </c>
      <c r="O385" s="544" t="s">
        <v>654</v>
      </c>
      <c r="P385" s="545"/>
      <c r="Q385" s="477" t="s">
        <v>320</v>
      </c>
      <c r="R385" s="544" t="s">
        <v>654</v>
      </c>
      <c r="S385" s="545"/>
      <c r="T385" s="477" t="s">
        <v>320</v>
      </c>
      <c r="U385" s="544" t="s">
        <v>654</v>
      </c>
      <c r="V385" s="545"/>
      <c r="W385" s="477" t="s">
        <v>320</v>
      </c>
      <c r="X385" s="544" t="s">
        <v>654</v>
      </c>
      <c r="Y385" s="545"/>
      <c r="Z385" s="477" t="s">
        <v>320</v>
      </c>
      <c r="AA385" s="544" t="s">
        <v>654</v>
      </c>
      <c r="AB385" s="545"/>
      <c r="AC385" s="477" t="s">
        <v>320</v>
      </c>
      <c r="AD385" s="544" t="s">
        <v>654</v>
      </c>
      <c r="AE385" s="545"/>
      <c r="AF385" s="477" t="s">
        <v>320</v>
      </c>
      <c r="AG385" s="544" t="s">
        <v>654</v>
      </c>
      <c r="AH385" s="545"/>
      <c r="AI385" s="477" t="s">
        <v>320</v>
      </c>
      <c r="AJ385" s="544" t="s">
        <v>654</v>
      </c>
      <c r="AK385" s="545"/>
      <c r="AL385" s="477" t="s">
        <v>320</v>
      </c>
    </row>
    <row r="386" spans="1:38" x14ac:dyDescent="0.35">
      <c r="A386" s="471">
        <f>SUM(E386,H386,K386,N386,Q386,T386,W386,Z386,AC386,AF386,AI386,AL386)</f>
        <v>2400</v>
      </c>
      <c r="B386" s="506" t="s">
        <v>639</v>
      </c>
      <c r="C386" s="541"/>
      <c r="D386" s="542"/>
      <c r="E386" s="518">
        <v>200</v>
      </c>
      <c r="F386" s="541"/>
      <c r="G386" s="542"/>
      <c r="H386" s="518">
        <v>200</v>
      </c>
      <c r="I386" s="541"/>
      <c r="J386" s="542"/>
      <c r="K386" s="518">
        <v>200</v>
      </c>
      <c r="L386" s="541"/>
      <c r="M386" s="542"/>
      <c r="N386" s="518">
        <v>200</v>
      </c>
      <c r="O386" s="541"/>
      <c r="P386" s="542"/>
      <c r="Q386" s="518">
        <v>200</v>
      </c>
      <c r="R386" s="541"/>
      <c r="S386" s="542"/>
      <c r="T386" s="518">
        <v>200</v>
      </c>
      <c r="U386" s="541"/>
      <c r="V386" s="542"/>
      <c r="W386" s="518">
        <v>200</v>
      </c>
      <c r="X386" s="541"/>
      <c r="Y386" s="542"/>
      <c r="Z386" s="518">
        <v>200</v>
      </c>
      <c r="AA386" s="541"/>
      <c r="AB386" s="542"/>
      <c r="AC386" s="518">
        <v>200</v>
      </c>
      <c r="AD386" s="541"/>
      <c r="AE386" s="542"/>
      <c r="AF386" s="518">
        <v>200</v>
      </c>
      <c r="AG386" s="541"/>
      <c r="AH386" s="542"/>
      <c r="AI386" s="518">
        <v>200</v>
      </c>
      <c r="AJ386" s="541"/>
      <c r="AK386" s="542"/>
      <c r="AL386" s="518">
        <v>200</v>
      </c>
    </row>
    <row r="387" spans="1:38" x14ac:dyDescent="0.35">
      <c r="A387" s="471">
        <f t="shared" ref="A387:A391" si="23">SUM(E387,H387,K387,N387,Q387,T387,W387,Z387,AC387,AF387,AI387,AL387)</f>
        <v>0</v>
      </c>
      <c r="B387" s="506" t="s">
        <v>640</v>
      </c>
      <c r="C387" s="541"/>
      <c r="D387" s="542"/>
      <c r="E387" s="518"/>
      <c r="F387" s="541"/>
      <c r="G387" s="542"/>
      <c r="H387" s="518"/>
      <c r="I387" s="541"/>
      <c r="J387" s="542"/>
      <c r="K387" s="518"/>
      <c r="L387" s="541"/>
      <c r="M387" s="542"/>
      <c r="N387" s="518"/>
      <c r="O387" s="541"/>
      <c r="P387" s="542"/>
      <c r="Q387" s="518"/>
      <c r="R387" s="541"/>
      <c r="S387" s="542"/>
      <c r="T387" s="518"/>
      <c r="U387" s="541"/>
      <c r="V387" s="542"/>
      <c r="W387" s="518"/>
      <c r="X387" s="541"/>
      <c r="Y387" s="542"/>
      <c r="Z387" s="518"/>
      <c r="AA387" s="541"/>
      <c r="AB387" s="542"/>
      <c r="AC387" s="518"/>
      <c r="AD387" s="541"/>
      <c r="AE387" s="542"/>
      <c r="AF387" s="518"/>
      <c r="AG387" s="541"/>
      <c r="AH387" s="542"/>
      <c r="AI387" s="518"/>
      <c r="AJ387" s="541"/>
      <c r="AK387" s="542"/>
      <c r="AL387" s="518"/>
    </row>
    <row r="388" spans="1:38" x14ac:dyDescent="0.35">
      <c r="A388" s="471">
        <f t="shared" si="23"/>
        <v>0</v>
      </c>
      <c r="B388" s="506" t="s">
        <v>641</v>
      </c>
      <c r="C388" s="541"/>
      <c r="D388" s="542"/>
      <c r="E388" s="518"/>
      <c r="F388" s="541"/>
      <c r="G388" s="542"/>
      <c r="H388" s="518"/>
      <c r="I388" s="541"/>
      <c r="J388" s="542"/>
      <c r="K388" s="518"/>
      <c r="L388" s="541"/>
      <c r="M388" s="542"/>
      <c r="N388" s="518"/>
      <c r="O388" s="541"/>
      <c r="P388" s="542"/>
      <c r="Q388" s="518"/>
      <c r="R388" s="541"/>
      <c r="S388" s="542"/>
      <c r="T388" s="518"/>
      <c r="U388" s="541"/>
      <c r="V388" s="542"/>
      <c r="W388" s="518"/>
      <c r="X388" s="541"/>
      <c r="Y388" s="542"/>
      <c r="Z388" s="518"/>
      <c r="AA388" s="541"/>
      <c r="AB388" s="542"/>
      <c r="AC388" s="518"/>
      <c r="AD388" s="541"/>
      <c r="AE388" s="542"/>
      <c r="AF388" s="518"/>
      <c r="AG388" s="541"/>
      <c r="AH388" s="542"/>
      <c r="AI388" s="518"/>
      <c r="AJ388" s="541"/>
      <c r="AK388" s="542"/>
      <c r="AL388" s="518"/>
    </row>
    <row r="389" spans="1:38" x14ac:dyDescent="0.35">
      <c r="A389" s="471">
        <f t="shared" si="23"/>
        <v>7200</v>
      </c>
      <c r="B389" s="506" t="s">
        <v>642</v>
      </c>
      <c r="C389" s="541"/>
      <c r="D389" s="542"/>
      <c r="E389" s="518">
        <v>600</v>
      </c>
      <c r="F389" s="543"/>
      <c r="G389" s="542"/>
      <c r="H389" s="518">
        <f>E389</f>
        <v>600</v>
      </c>
      <c r="I389" s="543"/>
      <c r="J389" s="542"/>
      <c r="K389" s="518">
        <f>H389</f>
        <v>600</v>
      </c>
      <c r="L389" s="543"/>
      <c r="M389" s="542"/>
      <c r="N389" s="518">
        <f>K389</f>
        <v>600</v>
      </c>
      <c r="O389" s="543"/>
      <c r="P389" s="542"/>
      <c r="Q389" s="518">
        <f>N389</f>
        <v>600</v>
      </c>
      <c r="R389" s="543"/>
      <c r="S389" s="542"/>
      <c r="T389" s="518">
        <f>Q389</f>
        <v>600</v>
      </c>
      <c r="U389" s="543"/>
      <c r="V389" s="542"/>
      <c r="W389" s="518">
        <f>T389</f>
        <v>600</v>
      </c>
      <c r="X389" s="543"/>
      <c r="Y389" s="542"/>
      <c r="Z389" s="518">
        <f>W389</f>
        <v>600</v>
      </c>
      <c r="AA389" s="543"/>
      <c r="AB389" s="542"/>
      <c r="AC389" s="518">
        <f>Z389</f>
        <v>600</v>
      </c>
      <c r="AD389" s="543"/>
      <c r="AE389" s="542"/>
      <c r="AF389" s="518">
        <f>AC389</f>
        <v>600</v>
      </c>
      <c r="AG389" s="543"/>
      <c r="AH389" s="542"/>
      <c r="AI389" s="518">
        <f>AF389</f>
        <v>600</v>
      </c>
      <c r="AJ389" s="543"/>
      <c r="AK389" s="542"/>
      <c r="AL389" s="518">
        <f>AI389</f>
        <v>600</v>
      </c>
    </row>
    <row r="390" spans="1:38" x14ac:dyDescent="0.35">
      <c r="A390" s="471">
        <f t="shared" si="23"/>
        <v>5000</v>
      </c>
      <c r="B390" s="506" t="s">
        <v>643</v>
      </c>
      <c r="C390" s="541"/>
      <c r="D390" s="542"/>
      <c r="E390" s="518">
        <f>(3000+2000)/12</f>
        <v>416.66666666666669</v>
      </c>
      <c r="F390" s="543"/>
      <c r="G390" s="542"/>
      <c r="H390" s="518">
        <f>$E390</f>
        <v>416.66666666666669</v>
      </c>
      <c r="I390" s="543"/>
      <c r="J390" s="542"/>
      <c r="K390" s="518">
        <f>$E390</f>
        <v>416.66666666666669</v>
      </c>
      <c r="L390" s="543"/>
      <c r="M390" s="542"/>
      <c r="N390" s="518">
        <f>$E390</f>
        <v>416.66666666666669</v>
      </c>
      <c r="O390" s="543"/>
      <c r="P390" s="542"/>
      <c r="Q390" s="518">
        <f>$E390</f>
        <v>416.66666666666669</v>
      </c>
      <c r="R390" s="543"/>
      <c r="S390" s="542"/>
      <c r="T390" s="518">
        <f>$E390</f>
        <v>416.66666666666669</v>
      </c>
      <c r="U390" s="543"/>
      <c r="V390" s="542"/>
      <c r="W390" s="518">
        <f>$E390</f>
        <v>416.66666666666669</v>
      </c>
      <c r="X390" s="543"/>
      <c r="Y390" s="542"/>
      <c r="Z390" s="518">
        <f>$E390</f>
        <v>416.66666666666669</v>
      </c>
      <c r="AA390" s="543"/>
      <c r="AB390" s="542"/>
      <c r="AC390" s="518">
        <f>$E390</f>
        <v>416.66666666666669</v>
      </c>
      <c r="AD390" s="543"/>
      <c r="AE390" s="542"/>
      <c r="AF390" s="518">
        <f>$E390</f>
        <v>416.66666666666669</v>
      </c>
      <c r="AG390" s="543"/>
      <c r="AH390" s="542"/>
      <c r="AI390" s="518">
        <f>$E390</f>
        <v>416.66666666666669</v>
      </c>
      <c r="AJ390" s="543"/>
      <c r="AK390" s="542"/>
      <c r="AL390" s="518">
        <f>$E390</f>
        <v>416.66666666666669</v>
      </c>
    </row>
    <row r="391" spans="1:38" x14ac:dyDescent="0.35">
      <c r="A391" s="471">
        <f t="shared" si="23"/>
        <v>6000</v>
      </c>
      <c r="B391" s="506" t="s">
        <v>644</v>
      </c>
      <c r="C391" s="541"/>
      <c r="D391" s="542"/>
      <c r="E391" s="518">
        <v>500</v>
      </c>
      <c r="F391" s="541"/>
      <c r="G391" s="542"/>
      <c r="H391" s="518">
        <v>500</v>
      </c>
      <c r="I391" s="541"/>
      <c r="J391" s="542"/>
      <c r="K391" s="518">
        <v>500</v>
      </c>
      <c r="L391" s="541"/>
      <c r="M391" s="542"/>
      <c r="N391" s="518">
        <v>500</v>
      </c>
      <c r="O391" s="541"/>
      <c r="P391" s="542"/>
      <c r="Q391" s="518">
        <v>500</v>
      </c>
      <c r="R391" s="541"/>
      <c r="S391" s="542"/>
      <c r="T391" s="518">
        <v>500</v>
      </c>
      <c r="U391" s="541"/>
      <c r="V391" s="542"/>
      <c r="W391" s="518">
        <v>500</v>
      </c>
      <c r="X391" s="541"/>
      <c r="Y391" s="542"/>
      <c r="Z391" s="518">
        <v>500</v>
      </c>
      <c r="AA391" s="541"/>
      <c r="AB391" s="542"/>
      <c r="AC391" s="518">
        <v>500</v>
      </c>
      <c r="AD391" s="541"/>
      <c r="AE391" s="542"/>
      <c r="AF391" s="518">
        <v>500</v>
      </c>
      <c r="AG391" s="541"/>
      <c r="AH391" s="542"/>
      <c r="AI391" s="518">
        <v>500</v>
      </c>
      <c r="AJ391" s="541"/>
      <c r="AK391" s="542"/>
      <c r="AL391" s="518">
        <v>500</v>
      </c>
    </row>
    <row r="392" spans="1:38" x14ac:dyDescent="0.35">
      <c r="A392" s="471"/>
      <c r="B392" s="506" t="s">
        <v>658</v>
      </c>
      <c r="C392" s="541"/>
      <c r="D392" s="542"/>
      <c r="E392" s="518">
        <v>750</v>
      </c>
      <c r="F392" s="543"/>
      <c r="G392" s="542"/>
      <c r="H392" s="518">
        <f>E392</f>
        <v>750</v>
      </c>
      <c r="I392" s="543"/>
      <c r="J392" s="542"/>
      <c r="K392" s="518">
        <f>H392</f>
        <v>750</v>
      </c>
      <c r="L392" s="543"/>
      <c r="M392" s="542"/>
      <c r="N392" s="518">
        <f>K392</f>
        <v>750</v>
      </c>
      <c r="O392" s="543"/>
      <c r="P392" s="542"/>
      <c r="Q392" s="518">
        <f>N392</f>
        <v>750</v>
      </c>
      <c r="R392" s="543"/>
      <c r="S392" s="542"/>
      <c r="T392" s="518">
        <f>Q392</f>
        <v>750</v>
      </c>
      <c r="U392" s="543"/>
      <c r="V392" s="542"/>
      <c r="W392" s="518">
        <f>T392</f>
        <v>750</v>
      </c>
      <c r="X392" s="543"/>
      <c r="Y392" s="542"/>
      <c r="Z392" s="518">
        <f>W392</f>
        <v>750</v>
      </c>
      <c r="AA392" s="543"/>
      <c r="AB392" s="542"/>
      <c r="AC392" s="518">
        <f>Z392</f>
        <v>750</v>
      </c>
      <c r="AD392" s="543"/>
      <c r="AE392" s="542"/>
      <c r="AF392" s="518">
        <f>AC392</f>
        <v>750</v>
      </c>
      <c r="AG392" s="543"/>
      <c r="AH392" s="542"/>
      <c r="AI392" s="518">
        <f>AF392</f>
        <v>750</v>
      </c>
      <c r="AJ392" s="543"/>
      <c r="AK392" s="542"/>
      <c r="AL392" s="518">
        <f>AI392</f>
        <v>750</v>
      </c>
    </row>
    <row r="393" spans="1:38" x14ac:dyDescent="0.35">
      <c r="A393" s="471">
        <f t="shared" ref="A393:A401" si="24">SUM(E393,H393,K393,N393,Q393,T393,W393,Z393,AC393,AF393,AI393,AL393)</f>
        <v>3050</v>
      </c>
      <c r="B393" s="506" t="s">
        <v>657</v>
      </c>
      <c r="C393" s="541"/>
      <c r="D393" s="542"/>
      <c r="E393" s="518">
        <f>1000+1000+250</f>
        <v>2250</v>
      </c>
      <c r="F393" s="541"/>
      <c r="G393" s="542"/>
      <c r="H393" s="518"/>
      <c r="I393" s="541"/>
      <c r="J393" s="542"/>
      <c r="K393" s="518">
        <v>200</v>
      </c>
      <c r="L393" s="541"/>
      <c r="M393" s="542"/>
      <c r="N393" s="518"/>
      <c r="O393" s="541"/>
      <c r="P393" s="542"/>
      <c r="Q393" s="518"/>
      <c r="R393" s="541"/>
      <c r="S393" s="542"/>
      <c r="T393" s="518">
        <v>200</v>
      </c>
      <c r="U393" s="541"/>
      <c r="V393" s="542"/>
      <c r="W393" s="518"/>
      <c r="X393" s="541"/>
      <c r="Y393" s="542"/>
      <c r="Z393" s="518"/>
      <c r="AA393" s="541"/>
      <c r="AB393" s="542"/>
      <c r="AC393" s="518">
        <v>200</v>
      </c>
      <c r="AD393" s="541"/>
      <c r="AE393" s="542"/>
      <c r="AF393" s="518"/>
      <c r="AG393" s="541"/>
      <c r="AH393" s="542"/>
      <c r="AI393" s="518"/>
      <c r="AJ393" s="541"/>
      <c r="AK393" s="542"/>
      <c r="AL393" s="518">
        <v>200</v>
      </c>
    </row>
    <row r="394" spans="1:38" x14ac:dyDescent="0.35">
      <c r="A394" s="471">
        <f t="shared" si="24"/>
        <v>1200</v>
      </c>
      <c r="B394" s="506" t="s">
        <v>645</v>
      </c>
      <c r="C394" s="541"/>
      <c r="D394" s="542"/>
      <c r="E394" s="518">
        <v>100</v>
      </c>
      <c r="F394" s="541"/>
      <c r="G394" s="542"/>
      <c r="H394" s="518">
        <v>100</v>
      </c>
      <c r="I394" s="541"/>
      <c r="J394" s="542"/>
      <c r="K394" s="518">
        <v>100</v>
      </c>
      <c r="L394" s="541"/>
      <c r="M394" s="542"/>
      <c r="N394" s="518">
        <v>100</v>
      </c>
      <c r="O394" s="541"/>
      <c r="P394" s="542"/>
      <c r="Q394" s="518">
        <v>100</v>
      </c>
      <c r="R394" s="541"/>
      <c r="S394" s="542"/>
      <c r="T394" s="518">
        <v>100</v>
      </c>
      <c r="U394" s="541"/>
      <c r="V394" s="542"/>
      <c r="W394" s="518">
        <v>100</v>
      </c>
      <c r="X394" s="541"/>
      <c r="Y394" s="542"/>
      <c r="Z394" s="518">
        <v>100</v>
      </c>
      <c r="AA394" s="541"/>
      <c r="AB394" s="542"/>
      <c r="AC394" s="518">
        <v>100</v>
      </c>
      <c r="AD394" s="541"/>
      <c r="AE394" s="542"/>
      <c r="AF394" s="518">
        <v>100</v>
      </c>
      <c r="AG394" s="541"/>
      <c r="AH394" s="542"/>
      <c r="AI394" s="518">
        <v>100</v>
      </c>
      <c r="AJ394" s="541"/>
      <c r="AK394" s="542"/>
      <c r="AL394" s="518">
        <v>100</v>
      </c>
    </row>
    <row r="395" spans="1:38" x14ac:dyDescent="0.35">
      <c r="A395" s="471">
        <f t="shared" si="24"/>
        <v>0</v>
      </c>
      <c r="B395" s="506" t="s">
        <v>646</v>
      </c>
      <c r="C395" s="541"/>
      <c r="D395" s="542"/>
      <c r="E395" s="518"/>
      <c r="F395" s="541"/>
      <c r="G395" s="542"/>
      <c r="H395" s="518"/>
      <c r="I395" s="541"/>
      <c r="J395" s="542"/>
      <c r="K395" s="518"/>
      <c r="L395" s="541"/>
      <c r="M395" s="542"/>
      <c r="N395" s="518"/>
      <c r="O395" s="541"/>
      <c r="P395" s="542"/>
      <c r="Q395" s="518"/>
      <c r="R395" s="541"/>
      <c r="S395" s="542"/>
      <c r="T395" s="518"/>
      <c r="U395" s="541"/>
      <c r="V395" s="542"/>
      <c r="W395" s="518"/>
      <c r="X395" s="541"/>
      <c r="Y395" s="542"/>
      <c r="Z395" s="518"/>
      <c r="AA395" s="541"/>
      <c r="AB395" s="542"/>
      <c r="AC395" s="518"/>
      <c r="AD395" s="541"/>
      <c r="AE395" s="542"/>
      <c r="AF395" s="518"/>
      <c r="AG395" s="541"/>
      <c r="AH395" s="542"/>
      <c r="AI395" s="518"/>
      <c r="AJ395" s="541"/>
      <c r="AK395" s="542"/>
      <c r="AL395" s="518"/>
    </row>
    <row r="396" spans="1:38" x14ac:dyDescent="0.35">
      <c r="A396" s="471">
        <f t="shared" si="24"/>
        <v>0</v>
      </c>
      <c r="B396" s="506" t="s">
        <v>647</v>
      </c>
      <c r="C396" s="541"/>
      <c r="D396" s="542"/>
      <c r="E396" s="518"/>
      <c r="F396" s="541"/>
      <c r="G396" s="542"/>
      <c r="H396" s="518"/>
      <c r="I396" s="541"/>
      <c r="J396" s="542"/>
      <c r="K396" s="518"/>
      <c r="L396" s="541"/>
      <c r="M396" s="542"/>
      <c r="N396" s="518"/>
      <c r="O396" s="541"/>
      <c r="P396" s="542"/>
      <c r="Q396" s="518"/>
      <c r="R396" s="541"/>
      <c r="S396" s="542"/>
      <c r="T396" s="518"/>
      <c r="U396" s="541"/>
      <c r="V396" s="542"/>
      <c r="W396" s="518"/>
      <c r="X396" s="541"/>
      <c r="Y396" s="542"/>
      <c r="Z396" s="518"/>
      <c r="AA396" s="541"/>
      <c r="AB396" s="542"/>
      <c r="AC396" s="518"/>
      <c r="AD396" s="541"/>
      <c r="AE396" s="542"/>
      <c r="AF396" s="518"/>
      <c r="AG396" s="541"/>
      <c r="AH396" s="542"/>
      <c r="AI396" s="518"/>
      <c r="AJ396" s="541"/>
      <c r="AK396" s="542"/>
      <c r="AL396" s="518"/>
    </row>
    <row r="397" spans="1:38" x14ac:dyDescent="0.35">
      <c r="A397" s="471">
        <f t="shared" si="24"/>
        <v>2400</v>
      </c>
      <c r="B397" s="506" t="s">
        <v>648</v>
      </c>
      <c r="C397" s="541"/>
      <c r="D397" s="542"/>
      <c r="E397" s="518">
        <v>200</v>
      </c>
      <c r="F397" s="541"/>
      <c r="G397" s="542"/>
      <c r="H397" s="518">
        <v>200</v>
      </c>
      <c r="I397" s="541"/>
      <c r="J397" s="542"/>
      <c r="K397" s="518">
        <v>200</v>
      </c>
      <c r="L397" s="541"/>
      <c r="M397" s="542"/>
      <c r="N397" s="518">
        <v>200</v>
      </c>
      <c r="O397" s="541"/>
      <c r="P397" s="542"/>
      <c r="Q397" s="518">
        <v>200</v>
      </c>
      <c r="R397" s="541"/>
      <c r="S397" s="542"/>
      <c r="T397" s="518">
        <v>200</v>
      </c>
      <c r="U397" s="541"/>
      <c r="V397" s="542"/>
      <c r="W397" s="518">
        <v>200</v>
      </c>
      <c r="X397" s="541"/>
      <c r="Y397" s="542"/>
      <c r="Z397" s="518">
        <v>200</v>
      </c>
      <c r="AA397" s="541"/>
      <c r="AB397" s="542"/>
      <c r="AC397" s="518">
        <v>200</v>
      </c>
      <c r="AD397" s="541"/>
      <c r="AE397" s="542"/>
      <c r="AF397" s="518">
        <v>200</v>
      </c>
      <c r="AG397" s="541"/>
      <c r="AH397" s="542"/>
      <c r="AI397" s="518">
        <v>200</v>
      </c>
      <c r="AJ397" s="541"/>
      <c r="AK397" s="542"/>
      <c r="AL397" s="518">
        <v>200</v>
      </c>
    </row>
    <row r="398" spans="1:38" x14ac:dyDescent="0.35">
      <c r="A398" s="471">
        <f t="shared" si="24"/>
        <v>3600</v>
      </c>
      <c r="B398" s="506" t="s">
        <v>649</v>
      </c>
      <c r="C398" s="541"/>
      <c r="D398" s="542"/>
      <c r="E398" s="518">
        <v>300</v>
      </c>
      <c r="F398" s="541"/>
      <c r="G398" s="542"/>
      <c r="H398" s="518">
        <v>300</v>
      </c>
      <c r="I398" s="541"/>
      <c r="J398" s="542"/>
      <c r="K398" s="518">
        <v>300</v>
      </c>
      <c r="L398" s="541"/>
      <c r="M398" s="542"/>
      <c r="N398" s="518">
        <v>300</v>
      </c>
      <c r="O398" s="541"/>
      <c r="P398" s="542"/>
      <c r="Q398" s="518">
        <v>300</v>
      </c>
      <c r="R398" s="541"/>
      <c r="S398" s="542"/>
      <c r="T398" s="518">
        <v>300</v>
      </c>
      <c r="U398" s="541"/>
      <c r="V398" s="542"/>
      <c r="W398" s="518">
        <v>300</v>
      </c>
      <c r="X398" s="541"/>
      <c r="Y398" s="542"/>
      <c r="Z398" s="518">
        <v>300</v>
      </c>
      <c r="AA398" s="541"/>
      <c r="AB398" s="542"/>
      <c r="AC398" s="518">
        <v>300</v>
      </c>
      <c r="AD398" s="541"/>
      <c r="AE398" s="542"/>
      <c r="AF398" s="518">
        <v>300</v>
      </c>
      <c r="AG398" s="541"/>
      <c r="AH398" s="542"/>
      <c r="AI398" s="518">
        <v>300</v>
      </c>
      <c r="AJ398" s="541"/>
      <c r="AK398" s="542"/>
      <c r="AL398" s="518">
        <v>300</v>
      </c>
    </row>
    <row r="399" spans="1:38" x14ac:dyDescent="0.35">
      <c r="A399" s="471">
        <f t="shared" si="24"/>
        <v>0</v>
      </c>
      <c r="B399" s="506" t="s">
        <v>650</v>
      </c>
      <c r="C399" s="541"/>
      <c r="D399" s="542"/>
      <c r="E399" s="518"/>
      <c r="F399" s="541"/>
      <c r="G399" s="542"/>
      <c r="H399" s="518"/>
      <c r="I399" s="541"/>
      <c r="J399" s="542"/>
      <c r="K399" s="518"/>
      <c r="L399" s="541"/>
      <c r="M399" s="542"/>
      <c r="N399" s="518"/>
      <c r="O399" s="541"/>
      <c r="P399" s="542"/>
      <c r="Q399" s="518"/>
      <c r="R399" s="541"/>
      <c r="S399" s="542"/>
      <c r="T399" s="518"/>
      <c r="U399" s="541"/>
      <c r="V399" s="542"/>
      <c r="W399" s="518"/>
      <c r="X399" s="541"/>
      <c r="Y399" s="542"/>
      <c r="Z399" s="518"/>
      <c r="AA399" s="541"/>
      <c r="AB399" s="542"/>
      <c r="AC399" s="518"/>
      <c r="AD399" s="541"/>
      <c r="AE399" s="542"/>
      <c r="AF399" s="518"/>
      <c r="AG399" s="541"/>
      <c r="AH399" s="542"/>
      <c r="AI399" s="518"/>
      <c r="AJ399" s="541"/>
      <c r="AK399" s="542"/>
      <c r="AL399" s="518"/>
    </row>
    <row r="400" spans="1:38" x14ac:dyDescent="0.35">
      <c r="A400" s="471">
        <f t="shared" si="24"/>
        <v>21000</v>
      </c>
      <c r="B400" s="506" t="s">
        <v>651</v>
      </c>
      <c r="C400" s="541"/>
      <c r="D400" s="542"/>
      <c r="E400" s="518">
        <f>(150+250)+(1350*1)</f>
        <v>1750</v>
      </c>
      <c r="F400" s="543"/>
      <c r="G400" s="542"/>
      <c r="H400" s="518">
        <f>E400</f>
        <v>1750</v>
      </c>
      <c r="I400" s="543"/>
      <c r="J400" s="542"/>
      <c r="K400" s="518">
        <f>H400</f>
        <v>1750</v>
      </c>
      <c r="L400" s="543"/>
      <c r="M400" s="542"/>
      <c r="N400" s="518">
        <f>K400</f>
        <v>1750</v>
      </c>
      <c r="O400" s="543"/>
      <c r="P400" s="542"/>
      <c r="Q400" s="518">
        <f>N400</f>
        <v>1750</v>
      </c>
      <c r="R400" s="543"/>
      <c r="S400" s="542"/>
      <c r="T400" s="518">
        <f>Q400</f>
        <v>1750</v>
      </c>
      <c r="U400" s="543"/>
      <c r="V400" s="542"/>
      <c r="W400" s="518">
        <f>T400</f>
        <v>1750</v>
      </c>
      <c r="X400" s="543"/>
      <c r="Y400" s="542"/>
      <c r="Z400" s="518">
        <f>W400</f>
        <v>1750</v>
      </c>
      <c r="AA400" s="543"/>
      <c r="AB400" s="542"/>
      <c r="AC400" s="518">
        <f>Z400</f>
        <v>1750</v>
      </c>
      <c r="AD400" s="543"/>
      <c r="AE400" s="542"/>
      <c r="AF400" s="518">
        <f>AC400</f>
        <v>1750</v>
      </c>
      <c r="AG400" s="543"/>
      <c r="AH400" s="542"/>
      <c r="AI400" s="518">
        <f>AF400</f>
        <v>1750</v>
      </c>
      <c r="AJ400" s="543"/>
      <c r="AK400" s="542"/>
      <c r="AL400" s="518">
        <f>AI400</f>
        <v>1750</v>
      </c>
    </row>
    <row r="401" spans="1:41" x14ac:dyDescent="0.35">
      <c r="A401" s="471">
        <f t="shared" si="24"/>
        <v>6000</v>
      </c>
      <c r="B401" s="506" t="s">
        <v>652</v>
      </c>
      <c r="C401" s="541"/>
      <c r="D401" s="542"/>
      <c r="E401" s="518">
        <v>500</v>
      </c>
      <c r="F401" s="541"/>
      <c r="G401" s="542"/>
      <c r="H401" s="518">
        <v>500</v>
      </c>
      <c r="I401" s="541"/>
      <c r="J401" s="542"/>
      <c r="K401" s="518">
        <v>500</v>
      </c>
      <c r="L401" s="541"/>
      <c r="M401" s="542"/>
      <c r="N401" s="518">
        <v>500</v>
      </c>
      <c r="O401" s="541"/>
      <c r="P401" s="542"/>
      <c r="Q401" s="518">
        <v>500</v>
      </c>
      <c r="R401" s="541"/>
      <c r="S401" s="542"/>
      <c r="T401" s="518">
        <v>500</v>
      </c>
      <c r="U401" s="541"/>
      <c r="V401" s="542"/>
      <c r="W401" s="518">
        <v>500</v>
      </c>
      <c r="X401" s="541"/>
      <c r="Y401" s="542"/>
      <c r="Z401" s="518">
        <v>500</v>
      </c>
      <c r="AA401" s="541"/>
      <c r="AB401" s="542"/>
      <c r="AC401" s="518">
        <v>500</v>
      </c>
      <c r="AD401" s="541"/>
      <c r="AE401" s="542"/>
      <c r="AF401" s="518">
        <v>500</v>
      </c>
      <c r="AG401" s="541"/>
      <c r="AH401" s="542"/>
      <c r="AI401" s="518">
        <v>500</v>
      </c>
      <c r="AJ401" s="541"/>
      <c r="AK401" s="542"/>
      <c r="AL401" s="518">
        <v>500</v>
      </c>
    </row>
    <row r="402" spans="1:41" x14ac:dyDescent="0.35">
      <c r="A402" s="471"/>
      <c r="B402" s="506" t="s">
        <v>655</v>
      </c>
      <c r="C402" s="541"/>
      <c r="D402" s="542"/>
      <c r="E402" s="518"/>
      <c r="F402" s="541"/>
      <c r="G402" s="542"/>
      <c r="H402" s="518"/>
      <c r="I402" s="541"/>
      <c r="J402" s="542"/>
      <c r="K402" s="518"/>
      <c r="L402" s="541"/>
      <c r="M402" s="542"/>
      <c r="N402" s="518"/>
      <c r="O402" s="541"/>
      <c r="P402" s="542"/>
      <c r="Q402" s="518"/>
      <c r="R402" s="541"/>
      <c r="S402" s="542"/>
      <c r="T402" s="518"/>
      <c r="U402" s="541"/>
      <c r="V402" s="542"/>
      <c r="W402" s="518"/>
      <c r="X402" s="541"/>
      <c r="Y402" s="542"/>
      <c r="Z402" s="518"/>
      <c r="AA402" s="541"/>
      <c r="AB402" s="542"/>
      <c r="AC402" s="518"/>
      <c r="AD402" s="541"/>
      <c r="AE402" s="542"/>
      <c r="AF402" s="518"/>
      <c r="AG402" s="541"/>
      <c r="AH402" s="542"/>
      <c r="AI402" s="518"/>
      <c r="AJ402" s="541"/>
      <c r="AK402" s="542"/>
      <c r="AL402" s="518"/>
    </row>
    <row r="403" spans="1:41" x14ac:dyDescent="0.35">
      <c r="A403" s="471"/>
      <c r="B403" s="506" t="s">
        <v>656</v>
      </c>
      <c r="C403" s="541"/>
      <c r="D403" s="542"/>
      <c r="E403" s="518"/>
      <c r="F403" s="541"/>
      <c r="G403" s="542"/>
      <c r="H403" s="518"/>
      <c r="I403" s="541"/>
      <c r="J403" s="542"/>
      <c r="K403" s="518"/>
      <c r="L403" s="541"/>
      <c r="M403" s="542"/>
      <c r="N403" s="518"/>
      <c r="O403" s="541"/>
      <c r="P403" s="542"/>
      <c r="Q403" s="518"/>
      <c r="R403" s="541"/>
      <c r="S403" s="542"/>
      <c r="T403" s="518"/>
      <c r="U403" s="541"/>
      <c r="V403" s="542"/>
      <c r="W403" s="518"/>
      <c r="X403" s="541"/>
      <c r="Y403" s="542"/>
      <c r="Z403" s="518"/>
      <c r="AA403" s="541"/>
      <c r="AB403" s="542"/>
      <c r="AC403" s="518"/>
      <c r="AD403" s="541"/>
      <c r="AE403" s="542"/>
      <c r="AF403" s="518"/>
      <c r="AG403" s="541"/>
      <c r="AH403" s="542"/>
      <c r="AI403" s="518"/>
      <c r="AJ403" s="541"/>
      <c r="AK403" s="542"/>
      <c r="AL403" s="518"/>
    </row>
    <row r="404" spans="1:41" x14ac:dyDescent="0.35">
      <c r="A404" s="469">
        <f>SUM(E404,H404,K404,N404,Q404,T404,W404,Z404,AC404,AF404,AI404,AL404)</f>
        <v>66849.999999999985</v>
      </c>
      <c r="B404" s="509" t="s">
        <v>722</v>
      </c>
      <c r="C404" s="539"/>
      <c r="D404" s="540"/>
      <c r="E404" s="510">
        <f>SUM(E386:E403)</f>
        <v>7566.666666666667</v>
      </c>
      <c r="F404" s="539"/>
      <c r="G404" s="540"/>
      <c r="H404" s="510">
        <f>SUM(H386:H403)</f>
        <v>5316.666666666667</v>
      </c>
      <c r="I404" s="539"/>
      <c r="J404" s="540"/>
      <c r="K404" s="510">
        <f>SUM(K386:K403)</f>
        <v>5516.666666666667</v>
      </c>
      <c r="L404" s="539"/>
      <c r="M404" s="540"/>
      <c r="N404" s="510">
        <f>SUM(N386:N403)</f>
        <v>5316.666666666667</v>
      </c>
      <c r="O404" s="539"/>
      <c r="P404" s="540"/>
      <c r="Q404" s="510">
        <f>SUM(Q386:Q403)</f>
        <v>5316.666666666667</v>
      </c>
      <c r="R404" s="539"/>
      <c r="S404" s="540"/>
      <c r="T404" s="510">
        <f>SUM(T386:T403)</f>
        <v>5516.666666666667</v>
      </c>
      <c r="U404" s="539"/>
      <c r="V404" s="540"/>
      <c r="W404" s="510">
        <f>SUM(W386:W403)</f>
        <v>5316.666666666667</v>
      </c>
      <c r="X404" s="539"/>
      <c r="Y404" s="540"/>
      <c r="Z404" s="510">
        <f>SUM(Z386:Z403)</f>
        <v>5316.666666666667</v>
      </c>
      <c r="AA404" s="539"/>
      <c r="AB404" s="540"/>
      <c r="AC404" s="510">
        <f>SUM(AC386:AC403)</f>
        <v>5516.666666666667</v>
      </c>
      <c r="AD404" s="539"/>
      <c r="AE404" s="540"/>
      <c r="AF404" s="510">
        <f>SUM(AF386:AF403)</f>
        <v>5316.666666666667</v>
      </c>
      <c r="AG404" s="539"/>
      <c r="AH404" s="540"/>
      <c r="AI404" s="510">
        <f>SUM(AI386:AI403)</f>
        <v>5316.666666666667</v>
      </c>
      <c r="AJ404" s="539"/>
      <c r="AK404" s="540"/>
      <c r="AL404" s="510">
        <f>SUM(AL386:AL403)</f>
        <v>5516.666666666667</v>
      </c>
    </row>
    <row r="406" spans="1:41" x14ac:dyDescent="0.35">
      <c r="A406" s="469">
        <f>SUM(E406,H406,K406,N406,Q406,T406,W406,Z406,AC406,AF406,AI406,AL406)</f>
        <v>80293.376360000009</v>
      </c>
      <c r="B406" s="509" t="s">
        <v>677</v>
      </c>
      <c r="C406" s="539"/>
      <c r="D406" s="540"/>
      <c r="E406" s="510">
        <f>E373</f>
        <v>4796.7440000000006</v>
      </c>
      <c r="F406" s="539"/>
      <c r="G406" s="540"/>
      <c r="H406" s="510">
        <f>H373</f>
        <v>5491.7439999999997</v>
      </c>
      <c r="I406" s="539"/>
      <c r="J406" s="540"/>
      <c r="K406" s="510">
        <f>K373</f>
        <v>5779.7439999999997</v>
      </c>
      <c r="L406" s="539"/>
      <c r="M406" s="540"/>
      <c r="N406" s="510">
        <f>N373</f>
        <v>8913.4574533333325</v>
      </c>
      <c r="O406" s="539"/>
      <c r="P406" s="540"/>
      <c r="Q406" s="510">
        <f>Q373</f>
        <v>10866.611453333333</v>
      </c>
      <c r="R406" s="539"/>
      <c r="S406" s="540"/>
      <c r="T406" s="510">
        <f>T373</f>
        <v>11274.611453333333</v>
      </c>
      <c r="U406" s="539"/>
      <c r="V406" s="540"/>
      <c r="W406" s="510">
        <f>W373</f>
        <v>6631.7439999999997</v>
      </c>
      <c r="X406" s="539"/>
      <c r="Y406" s="540"/>
      <c r="Z406" s="510">
        <f>Z373</f>
        <v>5539.7439999999997</v>
      </c>
      <c r="AA406" s="539"/>
      <c r="AB406" s="540"/>
      <c r="AC406" s="510">
        <f>AC373</f>
        <v>5539.7439999999997</v>
      </c>
      <c r="AD406" s="539"/>
      <c r="AE406" s="540"/>
      <c r="AF406" s="510">
        <f>AF373</f>
        <v>5219.7439999999997</v>
      </c>
      <c r="AG406" s="539"/>
      <c r="AH406" s="540"/>
      <c r="AI406" s="510">
        <f>AI373</f>
        <v>5019.7439999999997</v>
      </c>
      <c r="AJ406" s="539"/>
      <c r="AK406" s="540"/>
      <c r="AL406" s="510">
        <f>AL373</f>
        <v>5219.7439999999997</v>
      </c>
    </row>
    <row r="407" spans="1:41" x14ac:dyDescent="0.35">
      <c r="A407" s="469">
        <f>SUM(E407,H407,K407,N407,Q407,T407,W407,Z407,AC407,AF407,AI407,AL407)</f>
        <v>165466.96000000005</v>
      </c>
      <c r="B407" s="509" t="s">
        <v>678</v>
      </c>
      <c r="C407" s="539"/>
      <c r="D407" s="540"/>
      <c r="E407" s="510">
        <f>E383+E404</f>
        <v>15784.746666666666</v>
      </c>
      <c r="F407" s="539"/>
      <c r="G407" s="540"/>
      <c r="H407" s="510">
        <f>H383+H404</f>
        <v>13534.746666666666</v>
      </c>
      <c r="I407" s="539"/>
      <c r="J407" s="540"/>
      <c r="K407" s="510">
        <f>K383+K404</f>
        <v>13734.746666666666</v>
      </c>
      <c r="L407" s="539"/>
      <c r="M407" s="540"/>
      <c r="N407" s="510">
        <f>N383+N404</f>
        <v>13534.746666666666</v>
      </c>
      <c r="O407" s="539"/>
      <c r="P407" s="540"/>
      <c r="Q407" s="510">
        <f>Q383+Q404</f>
        <v>13534.746666666666</v>
      </c>
      <c r="R407" s="539"/>
      <c r="S407" s="540"/>
      <c r="T407" s="510">
        <f>T383+T404</f>
        <v>13734.746666666666</v>
      </c>
      <c r="U407" s="539"/>
      <c r="V407" s="540"/>
      <c r="W407" s="510">
        <f>W383+W404</f>
        <v>13534.746666666666</v>
      </c>
      <c r="X407" s="539"/>
      <c r="Y407" s="540"/>
      <c r="Z407" s="510">
        <f>Z383+Z404</f>
        <v>13534.746666666666</v>
      </c>
      <c r="AA407" s="539"/>
      <c r="AB407" s="540"/>
      <c r="AC407" s="510">
        <f>AC383+AC404</f>
        <v>13734.746666666666</v>
      </c>
      <c r="AD407" s="539"/>
      <c r="AE407" s="540"/>
      <c r="AF407" s="510">
        <f>AF383+AF404</f>
        <v>13534.746666666666</v>
      </c>
      <c r="AG407" s="539"/>
      <c r="AH407" s="540"/>
      <c r="AI407" s="510">
        <f>AI383+AI404</f>
        <v>13534.746666666666</v>
      </c>
      <c r="AJ407" s="539"/>
      <c r="AK407" s="540"/>
      <c r="AL407" s="510">
        <f>AL383+AL404</f>
        <v>13734.746666666666</v>
      </c>
    </row>
    <row r="408" spans="1:41" x14ac:dyDescent="0.35">
      <c r="A408" s="469">
        <f>SUM(E408,H408,K408,N408,Q408,T408,W408,Z408,AC408,AF408,AI408,AL408)</f>
        <v>-85173.583639999997</v>
      </c>
      <c r="B408" s="509" t="s">
        <v>679</v>
      </c>
      <c r="C408" s="539"/>
      <c r="D408" s="540"/>
      <c r="E408" s="510">
        <f>E406-E407</f>
        <v>-10988.002666666665</v>
      </c>
      <c r="F408" s="539"/>
      <c r="G408" s="540"/>
      <c r="H408" s="510">
        <f>H406-H407</f>
        <v>-8043.0026666666663</v>
      </c>
      <c r="I408" s="539"/>
      <c r="J408" s="540"/>
      <c r="K408" s="510">
        <f>K406-K407</f>
        <v>-7955.0026666666663</v>
      </c>
      <c r="L408" s="539"/>
      <c r="M408" s="540"/>
      <c r="N408" s="510">
        <f>N406-N407</f>
        <v>-4621.2892133333335</v>
      </c>
      <c r="O408" s="539"/>
      <c r="P408" s="540"/>
      <c r="Q408" s="510">
        <f>Q406-Q407</f>
        <v>-2668.135213333333</v>
      </c>
      <c r="R408" s="539"/>
      <c r="S408" s="540"/>
      <c r="T408" s="510">
        <f>T406-T407</f>
        <v>-2460.135213333333</v>
      </c>
      <c r="U408" s="539"/>
      <c r="V408" s="540"/>
      <c r="W408" s="510">
        <f>W406-W407</f>
        <v>-6903.0026666666663</v>
      </c>
      <c r="X408" s="539"/>
      <c r="Y408" s="540"/>
      <c r="Z408" s="510">
        <f>Z406-Z407</f>
        <v>-7995.0026666666663</v>
      </c>
      <c r="AA408" s="539"/>
      <c r="AB408" s="540"/>
      <c r="AC408" s="510">
        <f>AC406-AC407</f>
        <v>-8195.0026666666672</v>
      </c>
      <c r="AD408" s="539"/>
      <c r="AE408" s="540"/>
      <c r="AF408" s="510">
        <f>AF406-AF407</f>
        <v>-8315.0026666666672</v>
      </c>
      <c r="AG408" s="539"/>
      <c r="AH408" s="540"/>
      <c r="AI408" s="510">
        <f>AI406-AI407</f>
        <v>-8515.0026666666672</v>
      </c>
      <c r="AJ408" s="539"/>
      <c r="AK408" s="540"/>
      <c r="AL408" s="510">
        <f>AL406-AL407</f>
        <v>-8515.0026666666672</v>
      </c>
    </row>
    <row r="410" spans="1:41" x14ac:dyDescent="0.35">
      <c r="A410" s="537" t="s">
        <v>528</v>
      </c>
      <c r="B410" s="537"/>
      <c r="C410" s="537"/>
      <c r="D410" s="537"/>
      <c r="E410" s="537"/>
      <c r="F410" s="537"/>
      <c r="G410" s="537"/>
      <c r="H410" s="537"/>
      <c r="I410" s="537"/>
      <c r="J410" s="537"/>
      <c r="K410" s="537"/>
      <c r="L410" s="537"/>
      <c r="M410" s="537"/>
      <c r="N410" s="537"/>
      <c r="O410" s="537"/>
      <c r="P410" s="537"/>
      <c r="Q410" s="537"/>
      <c r="R410" s="537"/>
      <c r="S410" s="537"/>
      <c r="T410" s="537"/>
      <c r="U410" s="537"/>
      <c r="V410" s="537"/>
      <c r="W410" s="537"/>
      <c r="X410" s="537"/>
      <c r="Y410" s="537"/>
      <c r="Z410" s="537"/>
      <c r="AA410" s="537"/>
      <c r="AB410" s="537"/>
      <c r="AC410" s="537"/>
      <c r="AD410" s="537"/>
      <c r="AE410" s="537"/>
      <c r="AF410" s="537"/>
      <c r="AG410" s="537"/>
      <c r="AH410" s="537"/>
      <c r="AI410" s="537"/>
      <c r="AJ410" s="537"/>
      <c r="AK410" s="537"/>
      <c r="AL410" s="538"/>
    </row>
    <row r="411" spans="1:41" x14ac:dyDescent="0.35">
      <c r="C411" s="462"/>
      <c r="D411" s="463" t="s">
        <v>510</v>
      </c>
      <c r="E411" s="464" t="s">
        <v>614</v>
      </c>
      <c r="F411" s="462"/>
      <c r="G411" s="463" t="s">
        <v>510</v>
      </c>
      <c r="H411" s="464" t="s">
        <v>613</v>
      </c>
      <c r="I411" s="462"/>
      <c r="J411" s="463" t="s">
        <v>510</v>
      </c>
      <c r="K411" s="464" t="s">
        <v>612</v>
      </c>
      <c r="L411" s="462"/>
      <c r="M411" s="463" t="s">
        <v>510</v>
      </c>
      <c r="N411" s="464" t="s">
        <v>611</v>
      </c>
      <c r="O411" s="462"/>
      <c r="P411" s="463" t="s">
        <v>510</v>
      </c>
      <c r="Q411" s="464" t="s">
        <v>610</v>
      </c>
      <c r="R411" s="462"/>
      <c r="S411" s="463" t="s">
        <v>510</v>
      </c>
      <c r="T411" s="464" t="s">
        <v>609</v>
      </c>
      <c r="U411" s="462"/>
      <c r="V411" s="463" t="s">
        <v>510</v>
      </c>
      <c r="W411" s="464" t="s">
        <v>608</v>
      </c>
      <c r="X411" s="462"/>
      <c r="Y411" s="463" t="s">
        <v>510</v>
      </c>
      <c r="Z411" s="464" t="s">
        <v>607</v>
      </c>
      <c r="AA411" s="462"/>
      <c r="AB411" s="463" t="s">
        <v>510</v>
      </c>
      <c r="AC411" s="464" t="s">
        <v>606</v>
      </c>
      <c r="AD411" s="462"/>
      <c r="AE411" s="463" t="s">
        <v>510</v>
      </c>
      <c r="AF411" s="464" t="s">
        <v>605</v>
      </c>
      <c r="AG411" s="462"/>
      <c r="AH411" s="463" t="s">
        <v>510</v>
      </c>
      <c r="AI411" s="464" t="s">
        <v>604</v>
      </c>
      <c r="AJ411" s="462"/>
      <c r="AK411" s="463" t="s">
        <v>510</v>
      </c>
      <c r="AL411" s="464" t="s">
        <v>603</v>
      </c>
      <c r="AN411" t="s">
        <v>739</v>
      </c>
      <c r="AO411" s="446">
        <f>SUM(A415:A422)</f>
        <v>23976</v>
      </c>
    </row>
    <row r="412" spans="1:41" x14ac:dyDescent="0.35">
      <c r="B412" s="110"/>
      <c r="C412" s="465"/>
      <c r="D412" s="170" t="s">
        <v>35</v>
      </c>
      <c r="E412" s="469">
        <f>SUM(E415:E437)</f>
        <v>8103.9146666666666</v>
      </c>
      <c r="F412" s="465"/>
      <c r="G412" s="170" t="s">
        <v>35</v>
      </c>
      <c r="H412" s="469">
        <f>SUM(H415:H437)</f>
        <v>7415.9146666666666</v>
      </c>
      <c r="I412" s="465"/>
      <c r="J412" s="170" t="s">
        <v>35</v>
      </c>
      <c r="K412" s="469">
        <f>SUM(K415:K437)</f>
        <v>7703.9146666666666</v>
      </c>
      <c r="L412" s="465"/>
      <c r="M412" s="170" t="s">
        <v>35</v>
      </c>
      <c r="N412" s="469">
        <f>SUM(N415:N437)</f>
        <v>14184.248239999999</v>
      </c>
      <c r="O412" s="465"/>
      <c r="P412" s="170" t="s">
        <v>35</v>
      </c>
      <c r="Q412" s="469">
        <f>SUM(Q415:Q437)</f>
        <v>16418.556239999998</v>
      </c>
      <c r="R412" s="465"/>
      <c r="S412" s="170" t="s">
        <v>35</v>
      </c>
      <c r="T412" s="469">
        <f>SUM(T415:T437)</f>
        <v>16706.556239999998</v>
      </c>
      <c r="U412" s="465"/>
      <c r="V412" s="170" t="s">
        <v>35</v>
      </c>
      <c r="W412" s="469">
        <f>SUM(W415:W437)</f>
        <v>10151.914666666667</v>
      </c>
      <c r="X412" s="465"/>
      <c r="Y412" s="170" t="s">
        <v>35</v>
      </c>
      <c r="Z412" s="469">
        <f>SUM(Z415:Z437)</f>
        <v>10151.914666666667</v>
      </c>
      <c r="AA412" s="465"/>
      <c r="AB412" s="170" t="s">
        <v>35</v>
      </c>
      <c r="AC412" s="469">
        <f>SUM(AC415:AC437)</f>
        <v>10151.914666666667</v>
      </c>
      <c r="AD412" s="465"/>
      <c r="AE412" s="170" t="s">
        <v>35</v>
      </c>
      <c r="AF412" s="469">
        <f>SUM(AF415:AF437)</f>
        <v>8103.9146666666666</v>
      </c>
      <c r="AG412" s="465"/>
      <c r="AH412" s="170" t="s">
        <v>35</v>
      </c>
      <c r="AI412" s="469">
        <f>SUM(AI415:AI437)</f>
        <v>7703.9146666666666</v>
      </c>
      <c r="AJ412" s="465"/>
      <c r="AK412" s="170" t="s">
        <v>35</v>
      </c>
      <c r="AL412" s="469">
        <f>SUM(AL415:AL437)</f>
        <v>7703.9146666666666</v>
      </c>
      <c r="AN412" s="114" t="s">
        <v>740</v>
      </c>
      <c r="AO412" s="446">
        <f>SUM(A431,A432,A433,A436)</f>
        <v>45848.176719999996</v>
      </c>
    </row>
    <row r="413" spans="1:41" x14ac:dyDescent="0.35">
      <c r="A413" s="474" t="s">
        <v>270</v>
      </c>
      <c r="B413" s="470"/>
      <c r="C413" s="546" t="s">
        <v>512</v>
      </c>
      <c r="D413" s="547"/>
      <c r="E413" s="548"/>
      <c r="F413" s="546" t="s">
        <v>512</v>
      </c>
      <c r="G413" s="547"/>
      <c r="H413" s="548"/>
      <c r="I413" s="546" t="s">
        <v>512</v>
      </c>
      <c r="J413" s="547"/>
      <c r="K413" s="548"/>
      <c r="L413" s="546" t="s">
        <v>512</v>
      </c>
      <c r="M413" s="547"/>
      <c r="N413" s="548"/>
      <c r="O413" s="546" t="s">
        <v>512</v>
      </c>
      <c r="P413" s="547"/>
      <c r="Q413" s="548"/>
      <c r="R413" s="546" t="s">
        <v>512</v>
      </c>
      <c r="S413" s="547"/>
      <c r="T413" s="548"/>
      <c r="U413" s="546" t="s">
        <v>512</v>
      </c>
      <c r="V413" s="547"/>
      <c r="W413" s="548"/>
      <c r="X413" s="546" t="s">
        <v>512</v>
      </c>
      <c r="Y413" s="547"/>
      <c r="Z413" s="548"/>
      <c r="AA413" s="546" t="s">
        <v>512</v>
      </c>
      <c r="AB413" s="547"/>
      <c r="AC413" s="548"/>
      <c r="AD413" s="546" t="s">
        <v>512</v>
      </c>
      <c r="AE413" s="547"/>
      <c r="AF413" s="548"/>
      <c r="AG413" s="546" t="s">
        <v>512</v>
      </c>
      <c r="AH413" s="547"/>
      <c r="AI413" s="548"/>
      <c r="AJ413" s="546" t="s">
        <v>512</v>
      </c>
      <c r="AK413" s="547"/>
      <c r="AL413" s="548"/>
      <c r="AN413" s="114" t="s">
        <v>741</v>
      </c>
      <c r="AO413" s="446">
        <f>SUM(A423:A430)</f>
        <v>50520</v>
      </c>
    </row>
    <row r="414" spans="1:41" x14ac:dyDescent="0.35">
      <c r="A414" s="471">
        <f>SUM(A415:A437)</f>
        <v>124500.59271999999</v>
      </c>
      <c r="B414" s="473" t="s">
        <v>723</v>
      </c>
      <c r="C414" s="466" t="s">
        <v>509</v>
      </c>
      <c r="D414" s="467" t="s">
        <v>15</v>
      </c>
      <c r="E414" s="468" t="s">
        <v>368</v>
      </c>
      <c r="F414" s="466" t="s">
        <v>509</v>
      </c>
      <c r="G414" s="467" t="s">
        <v>15</v>
      </c>
      <c r="H414" s="468" t="s">
        <v>368</v>
      </c>
      <c r="I414" s="466" t="s">
        <v>509</v>
      </c>
      <c r="J414" s="467" t="s">
        <v>15</v>
      </c>
      <c r="K414" s="468" t="s">
        <v>368</v>
      </c>
      <c r="L414" s="466" t="s">
        <v>509</v>
      </c>
      <c r="M414" s="467" t="s">
        <v>15</v>
      </c>
      <c r="N414" s="468" t="s">
        <v>368</v>
      </c>
      <c r="O414" s="466" t="s">
        <v>509</v>
      </c>
      <c r="P414" s="467" t="s">
        <v>15</v>
      </c>
      <c r="Q414" s="468" t="s">
        <v>368</v>
      </c>
      <c r="R414" s="466" t="s">
        <v>509</v>
      </c>
      <c r="S414" s="467" t="s">
        <v>15</v>
      </c>
      <c r="T414" s="468" t="s">
        <v>368</v>
      </c>
      <c r="U414" s="466" t="s">
        <v>509</v>
      </c>
      <c r="V414" s="467" t="s">
        <v>15</v>
      </c>
      <c r="W414" s="468" t="s">
        <v>368</v>
      </c>
      <c r="X414" s="466" t="s">
        <v>509</v>
      </c>
      <c r="Y414" s="467" t="s">
        <v>15</v>
      </c>
      <c r="Z414" s="468" t="s">
        <v>368</v>
      </c>
      <c r="AA414" s="466" t="s">
        <v>509</v>
      </c>
      <c r="AB414" s="467" t="s">
        <v>15</v>
      </c>
      <c r="AC414" s="468" t="s">
        <v>368</v>
      </c>
      <c r="AD414" s="466" t="s">
        <v>509</v>
      </c>
      <c r="AE414" s="467" t="s">
        <v>15</v>
      </c>
      <c r="AF414" s="468" t="s">
        <v>368</v>
      </c>
      <c r="AG414" s="466" t="s">
        <v>509</v>
      </c>
      <c r="AH414" s="467" t="s">
        <v>15</v>
      </c>
      <c r="AI414" s="468" t="s">
        <v>368</v>
      </c>
      <c r="AJ414" s="466" t="s">
        <v>509</v>
      </c>
      <c r="AK414" s="467" t="s">
        <v>15</v>
      </c>
      <c r="AL414" s="468" t="s">
        <v>368</v>
      </c>
    </row>
    <row r="415" spans="1:41" x14ac:dyDescent="0.35">
      <c r="A415" s="471">
        <f t="shared" ref="A415:A435" si="25">SUM(E415,H415,K415,N415,Q415,T415,W415,Z415,AC415,AF415,AI415,AL415)</f>
        <v>360</v>
      </c>
      <c r="B415" s="459" t="s">
        <v>483</v>
      </c>
      <c r="C415" s="457">
        <v>6</v>
      </c>
      <c r="D415" s="460" t="str">
        <f>RevenueStreams!$E$12</f>
        <v>Per Hr</v>
      </c>
      <c r="E415" s="461">
        <f>C415*RevenueStreams!$D$12</f>
        <v>30</v>
      </c>
      <c r="F415" s="457">
        <v>6</v>
      </c>
      <c r="G415" s="460" t="str">
        <f>RevenueStreams!$E$12</f>
        <v>Per Hr</v>
      </c>
      <c r="H415" s="461">
        <f>F415*RevenueStreams!$D$12</f>
        <v>30</v>
      </c>
      <c r="I415" s="457">
        <v>6</v>
      </c>
      <c r="J415" s="460" t="str">
        <f>RevenueStreams!$E$12</f>
        <v>Per Hr</v>
      </c>
      <c r="K415" s="461">
        <f>I415*RevenueStreams!$D$12</f>
        <v>30</v>
      </c>
      <c r="L415" s="457">
        <v>6</v>
      </c>
      <c r="M415" s="456" t="str">
        <f>RevenueStreams!$E$12</f>
        <v>Per Hr</v>
      </c>
      <c r="N415" s="458">
        <f>L415*RevenueStreams!$D$12</f>
        <v>30</v>
      </c>
      <c r="O415" s="457">
        <v>6</v>
      </c>
      <c r="P415" s="456" t="str">
        <f>RevenueStreams!$E$12</f>
        <v>Per Hr</v>
      </c>
      <c r="Q415" s="458">
        <f>O415*RevenueStreams!$D$12</f>
        <v>30</v>
      </c>
      <c r="R415" s="457">
        <v>6</v>
      </c>
      <c r="S415" s="456" t="str">
        <f>RevenueStreams!$E$12</f>
        <v>Per Hr</v>
      </c>
      <c r="T415" s="458">
        <f>R415*RevenueStreams!$D$12</f>
        <v>30</v>
      </c>
      <c r="U415" s="457">
        <v>6</v>
      </c>
      <c r="V415" s="456" t="str">
        <f>RevenueStreams!$E$12</f>
        <v>Per Hr</v>
      </c>
      <c r="W415" s="458">
        <f>U415*RevenueStreams!$D$12</f>
        <v>30</v>
      </c>
      <c r="X415" s="457">
        <v>6</v>
      </c>
      <c r="Y415" s="456" t="str">
        <f>RevenueStreams!$E$12</f>
        <v>Per Hr</v>
      </c>
      <c r="Z415" s="458">
        <f>X415*RevenueStreams!$D$12</f>
        <v>30</v>
      </c>
      <c r="AA415" s="457">
        <v>6</v>
      </c>
      <c r="AB415" s="456" t="str">
        <f>RevenueStreams!$E$12</f>
        <v>Per Hr</v>
      </c>
      <c r="AC415" s="458">
        <f>AA415*RevenueStreams!$D$12</f>
        <v>30</v>
      </c>
      <c r="AD415" s="457">
        <v>6</v>
      </c>
      <c r="AE415" s="456" t="str">
        <f>RevenueStreams!$E$12</f>
        <v>Per Hr</v>
      </c>
      <c r="AF415" s="458">
        <f>AD415*RevenueStreams!$D$12</f>
        <v>30</v>
      </c>
      <c r="AG415" s="457">
        <v>6</v>
      </c>
      <c r="AH415" s="456" t="str">
        <f>RevenueStreams!$E$12</f>
        <v>Per Hr</v>
      </c>
      <c r="AI415" s="458">
        <f>AG415*RevenueStreams!$D$12</f>
        <v>30</v>
      </c>
      <c r="AJ415" s="457">
        <v>6</v>
      </c>
      <c r="AK415" s="456" t="str">
        <f>RevenueStreams!$E$12</f>
        <v>Per Hr</v>
      </c>
      <c r="AL415" s="458">
        <f>AJ415*RevenueStreams!$D$12</f>
        <v>30</v>
      </c>
    </row>
    <row r="416" spans="1:41" x14ac:dyDescent="0.35">
      <c r="A416" s="471">
        <f t="shared" si="25"/>
        <v>2304</v>
      </c>
      <c r="B416" s="459" t="s">
        <v>484</v>
      </c>
      <c r="C416" s="457">
        <v>1</v>
      </c>
      <c r="D416" s="460" t="str">
        <f>RevenueStreams!$E$13</f>
        <v>Per Mo</v>
      </c>
      <c r="E416" s="461">
        <f>C416*RevenueStreams!$D$13</f>
        <v>192</v>
      </c>
      <c r="F416" s="457">
        <v>1</v>
      </c>
      <c r="G416" s="460" t="str">
        <f>RevenueStreams!$E$13</f>
        <v>Per Mo</v>
      </c>
      <c r="H416" s="461">
        <f>F416*RevenueStreams!$D$13</f>
        <v>192</v>
      </c>
      <c r="I416" s="457">
        <v>1</v>
      </c>
      <c r="J416" s="460" t="str">
        <f>RevenueStreams!$E$13</f>
        <v>Per Mo</v>
      </c>
      <c r="K416" s="461">
        <f>I416*RevenueStreams!$D$13</f>
        <v>192</v>
      </c>
      <c r="L416" s="457">
        <v>1</v>
      </c>
      <c r="M416" s="456" t="str">
        <f>RevenueStreams!$E$13</f>
        <v>Per Mo</v>
      </c>
      <c r="N416" s="458">
        <f>L416*RevenueStreams!$D$13</f>
        <v>192</v>
      </c>
      <c r="O416" s="457">
        <v>1</v>
      </c>
      <c r="P416" s="456" t="str">
        <f>RevenueStreams!$E$13</f>
        <v>Per Mo</v>
      </c>
      <c r="Q416" s="458">
        <f>O416*RevenueStreams!$D$13</f>
        <v>192</v>
      </c>
      <c r="R416" s="457">
        <v>1</v>
      </c>
      <c r="S416" s="456" t="str">
        <f>RevenueStreams!$E$13</f>
        <v>Per Mo</v>
      </c>
      <c r="T416" s="458">
        <f>R416*RevenueStreams!$D$13</f>
        <v>192</v>
      </c>
      <c r="U416" s="457">
        <v>1</v>
      </c>
      <c r="V416" s="456" t="str">
        <f>RevenueStreams!$E$13</f>
        <v>Per Mo</v>
      </c>
      <c r="W416" s="458">
        <f>U416*RevenueStreams!$D$13</f>
        <v>192</v>
      </c>
      <c r="X416" s="457">
        <v>1</v>
      </c>
      <c r="Y416" s="456" t="str">
        <f>RevenueStreams!$E$13</f>
        <v>Per Mo</v>
      </c>
      <c r="Z416" s="458">
        <f>X416*RevenueStreams!$D$13</f>
        <v>192</v>
      </c>
      <c r="AA416" s="457">
        <v>1</v>
      </c>
      <c r="AB416" s="456" t="str">
        <f>RevenueStreams!$E$13</f>
        <v>Per Mo</v>
      </c>
      <c r="AC416" s="458">
        <f>AA416*RevenueStreams!$D$13</f>
        <v>192</v>
      </c>
      <c r="AD416" s="457">
        <v>1</v>
      </c>
      <c r="AE416" s="456" t="str">
        <f>RevenueStreams!$E$13</f>
        <v>Per Mo</v>
      </c>
      <c r="AF416" s="458">
        <f>AD416*RevenueStreams!$D$13</f>
        <v>192</v>
      </c>
      <c r="AG416" s="457">
        <v>1</v>
      </c>
      <c r="AH416" s="456" t="str">
        <f>RevenueStreams!$E$13</f>
        <v>Per Mo</v>
      </c>
      <c r="AI416" s="458">
        <f>AG416*RevenueStreams!$D$13</f>
        <v>192</v>
      </c>
      <c r="AJ416" s="457">
        <v>1</v>
      </c>
      <c r="AK416" s="456" t="str">
        <f>RevenueStreams!$E$13</f>
        <v>Per Mo</v>
      </c>
      <c r="AL416" s="458">
        <f>AJ416*RevenueStreams!$D$13</f>
        <v>192</v>
      </c>
    </row>
    <row r="417" spans="1:38" x14ac:dyDescent="0.35">
      <c r="A417" s="471">
        <f t="shared" si="25"/>
        <v>2304</v>
      </c>
      <c r="B417" s="459" t="s">
        <v>485</v>
      </c>
      <c r="C417" s="457">
        <v>1</v>
      </c>
      <c r="D417" s="460" t="str">
        <f>RevenueStreams!$E$14</f>
        <v>Per Mo</v>
      </c>
      <c r="E417" s="461">
        <f>C417*RevenueStreams!$D$14</f>
        <v>192</v>
      </c>
      <c r="F417" s="457">
        <v>1</v>
      </c>
      <c r="G417" s="460" t="str">
        <f>RevenueStreams!$E$14</f>
        <v>Per Mo</v>
      </c>
      <c r="H417" s="461">
        <f>F417*RevenueStreams!$D$14</f>
        <v>192</v>
      </c>
      <c r="I417" s="457">
        <v>1</v>
      </c>
      <c r="J417" s="460" t="str">
        <f>RevenueStreams!$E$14</f>
        <v>Per Mo</v>
      </c>
      <c r="K417" s="461">
        <f>I417*RevenueStreams!$D$14</f>
        <v>192</v>
      </c>
      <c r="L417" s="457">
        <v>1</v>
      </c>
      <c r="M417" s="460" t="str">
        <f>RevenueStreams!$E$14</f>
        <v>Per Mo</v>
      </c>
      <c r="N417" s="461">
        <f>L417*RevenueStreams!$D$14</f>
        <v>192</v>
      </c>
      <c r="O417" s="457">
        <v>1</v>
      </c>
      <c r="P417" s="460" t="str">
        <f>RevenueStreams!$E$14</f>
        <v>Per Mo</v>
      </c>
      <c r="Q417" s="461">
        <f>O417*RevenueStreams!$D$14</f>
        <v>192</v>
      </c>
      <c r="R417" s="457">
        <v>1</v>
      </c>
      <c r="S417" s="460" t="str">
        <f>RevenueStreams!$E$14</f>
        <v>Per Mo</v>
      </c>
      <c r="T417" s="461">
        <f>R417*RevenueStreams!$D$14</f>
        <v>192</v>
      </c>
      <c r="U417" s="457">
        <v>1</v>
      </c>
      <c r="V417" s="460" t="str">
        <f>RevenueStreams!$E$14</f>
        <v>Per Mo</v>
      </c>
      <c r="W417" s="461">
        <f>U417*RevenueStreams!$D$14</f>
        <v>192</v>
      </c>
      <c r="X417" s="457">
        <v>1</v>
      </c>
      <c r="Y417" s="460" t="str">
        <f>RevenueStreams!$E$14</f>
        <v>Per Mo</v>
      </c>
      <c r="Z417" s="461">
        <f>X417*RevenueStreams!$D$14</f>
        <v>192</v>
      </c>
      <c r="AA417" s="457">
        <v>1</v>
      </c>
      <c r="AB417" s="460" t="str">
        <f>RevenueStreams!$E$14</f>
        <v>Per Mo</v>
      </c>
      <c r="AC417" s="461">
        <f>AA417*RevenueStreams!$D$14</f>
        <v>192</v>
      </c>
      <c r="AD417" s="457">
        <v>1</v>
      </c>
      <c r="AE417" s="460" t="str">
        <f>RevenueStreams!$E$14</f>
        <v>Per Mo</v>
      </c>
      <c r="AF417" s="461">
        <f>AD417*RevenueStreams!$D$14</f>
        <v>192</v>
      </c>
      <c r="AG417" s="457">
        <v>1</v>
      </c>
      <c r="AH417" s="460" t="str">
        <f>RevenueStreams!$E$14</f>
        <v>Per Mo</v>
      </c>
      <c r="AI417" s="461">
        <f>AG417*RevenueStreams!$D$14</f>
        <v>192</v>
      </c>
      <c r="AJ417" s="457">
        <v>1</v>
      </c>
      <c r="AK417" s="460" t="str">
        <f>RevenueStreams!$E$14</f>
        <v>Per Mo</v>
      </c>
      <c r="AL417" s="461">
        <f>AJ417*RevenueStreams!$D$14</f>
        <v>192</v>
      </c>
    </row>
    <row r="418" spans="1:38" x14ac:dyDescent="0.35">
      <c r="A418" s="471">
        <f t="shared" si="25"/>
        <v>2304</v>
      </c>
      <c r="B418" s="459" t="s">
        <v>486</v>
      </c>
      <c r="C418" s="457">
        <v>1</v>
      </c>
      <c r="D418" s="460" t="str">
        <f>RevenueStreams!$E$15</f>
        <v>Per Mo</v>
      </c>
      <c r="E418" s="461">
        <f>C418*RevenueStreams!$D$15</f>
        <v>192</v>
      </c>
      <c r="F418" s="457">
        <v>1</v>
      </c>
      <c r="G418" s="460" t="str">
        <f>RevenueStreams!$E$15</f>
        <v>Per Mo</v>
      </c>
      <c r="H418" s="461">
        <f>F418*RevenueStreams!$D$15</f>
        <v>192</v>
      </c>
      <c r="I418" s="457">
        <v>1</v>
      </c>
      <c r="J418" s="460" t="str">
        <f>RevenueStreams!$E$15</f>
        <v>Per Mo</v>
      </c>
      <c r="K418" s="461">
        <f>I418*RevenueStreams!$D$15</f>
        <v>192</v>
      </c>
      <c r="L418" s="457">
        <v>1</v>
      </c>
      <c r="M418" s="460" t="str">
        <f>RevenueStreams!$E$15</f>
        <v>Per Mo</v>
      </c>
      <c r="N418" s="461">
        <f>L418*RevenueStreams!$D$15</f>
        <v>192</v>
      </c>
      <c r="O418" s="457">
        <v>1</v>
      </c>
      <c r="P418" s="460" t="str">
        <f>RevenueStreams!$E$15</f>
        <v>Per Mo</v>
      </c>
      <c r="Q418" s="461">
        <f>O418*RevenueStreams!$D$15</f>
        <v>192</v>
      </c>
      <c r="R418" s="457">
        <v>1</v>
      </c>
      <c r="S418" s="460" t="str">
        <f>RevenueStreams!$E$15</f>
        <v>Per Mo</v>
      </c>
      <c r="T418" s="461">
        <f>R418*RevenueStreams!$D$15</f>
        <v>192</v>
      </c>
      <c r="U418" s="457">
        <v>1</v>
      </c>
      <c r="V418" s="460" t="str">
        <f>RevenueStreams!$E$15</f>
        <v>Per Mo</v>
      </c>
      <c r="W418" s="461">
        <f>U418*RevenueStreams!$D$15</f>
        <v>192</v>
      </c>
      <c r="X418" s="457">
        <v>1</v>
      </c>
      <c r="Y418" s="460" t="str">
        <f>RevenueStreams!$E$15</f>
        <v>Per Mo</v>
      </c>
      <c r="Z418" s="461">
        <f>X418*RevenueStreams!$D$15</f>
        <v>192</v>
      </c>
      <c r="AA418" s="457">
        <v>1</v>
      </c>
      <c r="AB418" s="460" t="str">
        <f>RevenueStreams!$E$15</f>
        <v>Per Mo</v>
      </c>
      <c r="AC418" s="461">
        <f>AA418*RevenueStreams!$D$15</f>
        <v>192</v>
      </c>
      <c r="AD418" s="457">
        <v>1</v>
      </c>
      <c r="AE418" s="460" t="str">
        <f>RevenueStreams!$E$15</f>
        <v>Per Mo</v>
      </c>
      <c r="AF418" s="461">
        <f>AD418*RevenueStreams!$D$15</f>
        <v>192</v>
      </c>
      <c r="AG418" s="457">
        <v>1</v>
      </c>
      <c r="AH418" s="460" t="str">
        <f>RevenueStreams!$E$15</f>
        <v>Per Mo</v>
      </c>
      <c r="AI418" s="461">
        <f>AG418*RevenueStreams!$D$15</f>
        <v>192</v>
      </c>
      <c r="AJ418" s="457">
        <v>1</v>
      </c>
      <c r="AK418" s="460" t="str">
        <f>RevenueStreams!$E$15</f>
        <v>Per Mo</v>
      </c>
      <c r="AL418" s="461">
        <f>AJ418*RevenueStreams!$D$15</f>
        <v>192</v>
      </c>
    </row>
    <row r="419" spans="1:38" x14ac:dyDescent="0.35">
      <c r="A419" s="471">
        <f t="shared" si="25"/>
        <v>3456</v>
      </c>
      <c r="B419" s="459" t="s">
        <v>530</v>
      </c>
      <c r="C419" s="457">
        <v>1</v>
      </c>
      <c r="D419" s="460" t="str">
        <f>RevenueStreams!$E$16</f>
        <v>Per Mo</v>
      </c>
      <c r="E419" s="461">
        <f>C419*RevenueStreams!$D$16</f>
        <v>288</v>
      </c>
      <c r="F419" s="457">
        <v>1</v>
      </c>
      <c r="G419" s="460" t="str">
        <f>RevenueStreams!$E$16</f>
        <v>Per Mo</v>
      </c>
      <c r="H419" s="461">
        <f>F419*RevenueStreams!$D$16</f>
        <v>288</v>
      </c>
      <c r="I419" s="457">
        <v>1</v>
      </c>
      <c r="J419" s="460" t="str">
        <f>RevenueStreams!$E$16</f>
        <v>Per Mo</v>
      </c>
      <c r="K419" s="461">
        <f>I419*RevenueStreams!$D$16</f>
        <v>288</v>
      </c>
      <c r="L419" s="457">
        <v>1</v>
      </c>
      <c r="M419" s="460" t="str">
        <f>RevenueStreams!$E$16</f>
        <v>Per Mo</v>
      </c>
      <c r="N419" s="461">
        <f>L419*RevenueStreams!$D$16</f>
        <v>288</v>
      </c>
      <c r="O419" s="457">
        <v>1</v>
      </c>
      <c r="P419" s="460" t="str">
        <f>RevenueStreams!$E$16</f>
        <v>Per Mo</v>
      </c>
      <c r="Q419" s="461">
        <f>O419*RevenueStreams!$D$16</f>
        <v>288</v>
      </c>
      <c r="R419" s="457">
        <v>1</v>
      </c>
      <c r="S419" s="460" t="str">
        <f>RevenueStreams!$E$16</f>
        <v>Per Mo</v>
      </c>
      <c r="T419" s="461">
        <f>R419*RevenueStreams!$D$16</f>
        <v>288</v>
      </c>
      <c r="U419" s="457">
        <v>1</v>
      </c>
      <c r="V419" s="460" t="str">
        <f>RevenueStreams!$E$16</f>
        <v>Per Mo</v>
      </c>
      <c r="W419" s="461">
        <f>U419*RevenueStreams!$D$16</f>
        <v>288</v>
      </c>
      <c r="X419" s="457">
        <v>1</v>
      </c>
      <c r="Y419" s="460" t="str">
        <f>RevenueStreams!$E$16</f>
        <v>Per Mo</v>
      </c>
      <c r="Z419" s="461">
        <f>X419*RevenueStreams!$D$16</f>
        <v>288</v>
      </c>
      <c r="AA419" s="457">
        <v>1</v>
      </c>
      <c r="AB419" s="460" t="str">
        <f>RevenueStreams!$E$16</f>
        <v>Per Mo</v>
      </c>
      <c r="AC419" s="461">
        <f>AA419*RevenueStreams!$D$16</f>
        <v>288</v>
      </c>
      <c r="AD419" s="457">
        <v>1</v>
      </c>
      <c r="AE419" s="460" t="str">
        <f>RevenueStreams!$E$16</f>
        <v>Per Mo</v>
      </c>
      <c r="AF419" s="461">
        <f>AD419*RevenueStreams!$D$16</f>
        <v>288</v>
      </c>
      <c r="AG419" s="457">
        <v>1</v>
      </c>
      <c r="AH419" s="460" t="str">
        <f>RevenueStreams!$E$16</f>
        <v>Per Mo</v>
      </c>
      <c r="AI419" s="461">
        <f>AG419*RevenueStreams!$D$16</f>
        <v>288</v>
      </c>
      <c r="AJ419" s="457">
        <v>1</v>
      </c>
      <c r="AK419" s="460" t="str">
        <f>RevenueStreams!$E$16</f>
        <v>Per Mo</v>
      </c>
      <c r="AL419" s="461">
        <f>AJ419*RevenueStreams!$D$16</f>
        <v>288</v>
      </c>
    </row>
    <row r="420" spans="1:38" x14ac:dyDescent="0.35">
      <c r="A420" s="471">
        <f t="shared" si="25"/>
        <v>3456</v>
      </c>
      <c r="B420" s="459" t="s">
        <v>487</v>
      </c>
      <c r="C420" s="457">
        <v>1</v>
      </c>
      <c r="D420" s="460" t="str">
        <f>RevenueStreams!$E$17</f>
        <v>Per Mo</v>
      </c>
      <c r="E420" s="461">
        <f>C420*RevenueStreams!$D$17</f>
        <v>288</v>
      </c>
      <c r="F420" s="457">
        <v>1</v>
      </c>
      <c r="G420" s="460" t="str">
        <f>RevenueStreams!$E$17</f>
        <v>Per Mo</v>
      </c>
      <c r="H420" s="461">
        <f>F420*RevenueStreams!$D$17</f>
        <v>288</v>
      </c>
      <c r="I420" s="457">
        <v>1</v>
      </c>
      <c r="J420" s="460" t="str">
        <f>RevenueStreams!$E$17</f>
        <v>Per Mo</v>
      </c>
      <c r="K420" s="461">
        <f>I420*RevenueStreams!$D$17</f>
        <v>288</v>
      </c>
      <c r="L420" s="457">
        <v>1</v>
      </c>
      <c r="M420" s="460" t="str">
        <f>RevenueStreams!$E$17</f>
        <v>Per Mo</v>
      </c>
      <c r="N420" s="461">
        <f>L420*RevenueStreams!$D$17</f>
        <v>288</v>
      </c>
      <c r="O420" s="457">
        <v>1</v>
      </c>
      <c r="P420" s="460" t="str">
        <f>RevenueStreams!$E$17</f>
        <v>Per Mo</v>
      </c>
      <c r="Q420" s="461">
        <f>O420*RevenueStreams!$D$17</f>
        <v>288</v>
      </c>
      <c r="R420" s="457">
        <v>1</v>
      </c>
      <c r="S420" s="460" t="str">
        <f>RevenueStreams!$E$17</f>
        <v>Per Mo</v>
      </c>
      <c r="T420" s="461">
        <f>R420*RevenueStreams!$D$17</f>
        <v>288</v>
      </c>
      <c r="U420" s="457">
        <v>1</v>
      </c>
      <c r="V420" s="460" t="str">
        <f>RevenueStreams!$E$17</f>
        <v>Per Mo</v>
      </c>
      <c r="W420" s="461">
        <f>U420*RevenueStreams!$D$17</f>
        <v>288</v>
      </c>
      <c r="X420" s="457">
        <v>1</v>
      </c>
      <c r="Y420" s="460" t="str">
        <f>RevenueStreams!$E$17</f>
        <v>Per Mo</v>
      </c>
      <c r="Z420" s="461">
        <f>X420*RevenueStreams!$D$17</f>
        <v>288</v>
      </c>
      <c r="AA420" s="457">
        <v>1</v>
      </c>
      <c r="AB420" s="460" t="str">
        <f>RevenueStreams!$E$17</f>
        <v>Per Mo</v>
      </c>
      <c r="AC420" s="461">
        <f>AA420*RevenueStreams!$D$17</f>
        <v>288</v>
      </c>
      <c r="AD420" s="457">
        <v>1</v>
      </c>
      <c r="AE420" s="460" t="str">
        <f>RevenueStreams!$E$17</f>
        <v>Per Mo</v>
      </c>
      <c r="AF420" s="461">
        <f>AD420*RevenueStreams!$D$17</f>
        <v>288</v>
      </c>
      <c r="AG420" s="457">
        <v>1</v>
      </c>
      <c r="AH420" s="460" t="str">
        <f>RevenueStreams!$E$17</f>
        <v>Per Mo</v>
      </c>
      <c r="AI420" s="461">
        <f>AG420*RevenueStreams!$D$17</f>
        <v>288</v>
      </c>
      <c r="AJ420" s="457">
        <v>1</v>
      </c>
      <c r="AK420" s="460" t="str">
        <f>RevenueStreams!$E$17</f>
        <v>Per Mo</v>
      </c>
      <c r="AL420" s="461">
        <f>AJ420*RevenueStreams!$D$17</f>
        <v>288</v>
      </c>
    </row>
    <row r="421" spans="1:38" x14ac:dyDescent="0.35">
      <c r="A421" s="471">
        <f t="shared" si="25"/>
        <v>2880</v>
      </c>
      <c r="B421" s="459" t="s">
        <v>488</v>
      </c>
      <c r="C421" s="457">
        <v>1</v>
      </c>
      <c r="D421" s="460" t="str">
        <f>RevenueStreams!$E$18</f>
        <v>Per Mo</v>
      </c>
      <c r="E421" s="461">
        <f>C421*RevenueStreams!$D$18</f>
        <v>288</v>
      </c>
      <c r="F421" s="457">
        <v>0</v>
      </c>
      <c r="G421" s="460" t="str">
        <f>RevenueStreams!$E$18</f>
        <v>Per Mo</v>
      </c>
      <c r="H421" s="461">
        <f>F421*RevenueStreams!$D$18</f>
        <v>0</v>
      </c>
      <c r="I421" s="457">
        <v>1</v>
      </c>
      <c r="J421" s="460" t="str">
        <f>RevenueStreams!$E$18</f>
        <v>Per Mo</v>
      </c>
      <c r="K421" s="461">
        <f>I421*RevenueStreams!$D$18</f>
        <v>288</v>
      </c>
      <c r="L421" s="457">
        <v>1</v>
      </c>
      <c r="M421" s="460" t="str">
        <f>RevenueStreams!$E$18</f>
        <v>Per Mo</v>
      </c>
      <c r="N421" s="461">
        <f>L421*RevenueStreams!$D$18</f>
        <v>288</v>
      </c>
      <c r="O421" s="457">
        <v>0</v>
      </c>
      <c r="P421" s="460" t="str">
        <f>RevenueStreams!$E$18</f>
        <v>Per Mo</v>
      </c>
      <c r="Q421" s="461">
        <f>O421*RevenueStreams!$D$18</f>
        <v>0</v>
      </c>
      <c r="R421" s="457">
        <v>1</v>
      </c>
      <c r="S421" s="460" t="str">
        <f>RevenueStreams!$E$18</f>
        <v>Per Mo</v>
      </c>
      <c r="T421" s="461">
        <f>R421*RevenueStreams!$D$18</f>
        <v>288</v>
      </c>
      <c r="U421" s="457">
        <v>1</v>
      </c>
      <c r="V421" s="460" t="str">
        <f>RevenueStreams!$E$18</f>
        <v>Per Mo</v>
      </c>
      <c r="W421" s="461">
        <f>U421*RevenueStreams!$D$18</f>
        <v>288</v>
      </c>
      <c r="X421" s="457">
        <v>1</v>
      </c>
      <c r="Y421" s="460" t="str">
        <f>RevenueStreams!$E$18</f>
        <v>Per Mo</v>
      </c>
      <c r="Z421" s="461">
        <f>X421*RevenueStreams!$D$18</f>
        <v>288</v>
      </c>
      <c r="AA421" s="457">
        <v>1</v>
      </c>
      <c r="AB421" s="460" t="str">
        <f>RevenueStreams!$E$18</f>
        <v>Per Mo</v>
      </c>
      <c r="AC421" s="461">
        <f>AA421*RevenueStreams!$D$18</f>
        <v>288</v>
      </c>
      <c r="AD421" s="457">
        <v>1</v>
      </c>
      <c r="AE421" s="460" t="str">
        <f>RevenueStreams!$E$18</f>
        <v>Per Mo</v>
      </c>
      <c r="AF421" s="461">
        <f>AD421*RevenueStreams!$D$18</f>
        <v>288</v>
      </c>
      <c r="AG421" s="457">
        <v>1</v>
      </c>
      <c r="AH421" s="460" t="str">
        <f>RevenueStreams!$E$18</f>
        <v>Per Mo</v>
      </c>
      <c r="AI421" s="461">
        <f>AG421*RevenueStreams!$D$18</f>
        <v>288</v>
      </c>
      <c r="AJ421" s="457">
        <v>1</v>
      </c>
      <c r="AK421" s="460" t="str">
        <f>RevenueStreams!$E$18</f>
        <v>Per Mo</v>
      </c>
      <c r="AL421" s="461">
        <f>AJ421*RevenueStreams!$D$18</f>
        <v>288</v>
      </c>
    </row>
    <row r="422" spans="1:38" x14ac:dyDescent="0.35">
      <c r="A422" s="471">
        <f t="shared" si="25"/>
        <v>6912</v>
      </c>
      <c r="B422" s="459" t="s">
        <v>489</v>
      </c>
      <c r="C422" s="457">
        <v>1</v>
      </c>
      <c r="D422" s="460" t="str">
        <f>RevenueStreams!$E$19</f>
        <v>Per Mo</v>
      </c>
      <c r="E422" s="461">
        <f>C422*RevenueStreams!$D$19</f>
        <v>576</v>
      </c>
      <c r="F422" s="457">
        <v>1</v>
      </c>
      <c r="G422" s="460" t="str">
        <f>RevenueStreams!$E$19</f>
        <v>Per Mo</v>
      </c>
      <c r="H422" s="461">
        <f>F422*RevenueStreams!$D$19</f>
        <v>576</v>
      </c>
      <c r="I422" s="457">
        <v>1</v>
      </c>
      <c r="J422" s="460" t="str">
        <f>RevenueStreams!$E$19</f>
        <v>Per Mo</v>
      </c>
      <c r="K422" s="461">
        <f>I422*RevenueStreams!$D$19</f>
        <v>576</v>
      </c>
      <c r="L422" s="457">
        <v>1</v>
      </c>
      <c r="M422" s="460" t="str">
        <f>RevenueStreams!$E$19</f>
        <v>Per Mo</v>
      </c>
      <c r="N422" s="461">
        <f>L422*RevenueStreams!$D$19</f>
        <v>576</v>
      </c>
      <c r="O422" s="457">
        <v>1</v>
      </c>
      <c r="P422" s="460" t="str">
        <f>RevenueStreams!$E$19</f>
        <v>Per Mo</v>
      </c>
      <c r="Q422" s="461">
        <f>O422*RevenueStreams!$D$19</f>
        <v>576</v>
      </c>
      <c r="R422" s="457">
        <v>1</v>
      </c>
      <c r="S422" s="460" t="str">
        <f>RevenueStreams!$E$19</f>
        <v>Per Mo</v>
      </c>
      <c r="T422" s="461">
        <f>R422*RevenueStreams!$D$19</f>
        <v>576</v>
      </c>
      <c r="U422" s="457">
        <v>1</v>
      </c>
      <c r="V422" s="460" t="str">
        <f>RevenueStreams!$E$19</f>
        <v>Per Mo</v>
      </c>
      <c r="W422" s="461">
        <f>U422*RevenueStreams!$D$19</f>
        <v>576</v>
      </c>
      <c r="X422" s="457">
        <v>1</v>
      </c>
      <c r="Y422" s="460" t="str">
        <f>RevenueStreams!$E$19</f>
        <v>Per Mo</v>
      </c>
      <c r="Z422" s="461">
        <f>X422*RevenueStreams!$D$19</f>
        <v>576</v>
      </c>
      <c r="AA422" s="457">
        <v>1</v>
      </c>
      <c r="AB422" s="460" t="str">
        <f>RevenueStreams!$E$19</f>
        <v>Per Mo</v>
      </c>
      <c r="AC422" s="461">
        <f>AA422*RevenueStreams!$D$19</f>
        <v>576</v>
      </c>
      <c r="AD422" s="457">
        <v>1</v>
      </c>
      <c r="AE422" s="460" t="str">
        <f>RevenueStreams!$E$19</f>
        <v>Per Mo</v>
      </c>
      <c r="AF422" s="461">
        <f>AD422*RevenueStreams!$D$19</f>
        <v>576</v>
      </c>
      <c r="AG422" s="457">
        <v>1</v>
      </c>
      <c r="AH422" s="460" t="str">
        <f>RevenueStreams!$E$19</f>
        <v>Per Mo</v>
      </c>
      <c r="AI422" s="461">
        <f>AG422*RevenueStreams!$D$19</f>
        <v>576</v>
      </c>
      <c r="AJ422" s="457">
        <v>1</v>
      </c>
      <c r="AK422" s="460" t="str">
        <f>RevenueStreams!$E$19</f>
        <v>Per Mo</v>
      </c>
      <c r="AL422" s="461">
        <f>AJ422*RevenueStreams!$D$19</f>
        <v>576</v>
      </c>
    </row>
    <row r="423" spans="1:38" x14ac:dyDescent="0.35">
      <c r="A423" s="471">
        <f t="shared" si="25"/>
        <v>4800</v>
      </c>
      <c r="B423" s="459" t="s">
        <v>496</v>
      </c>
      <c r="C423" s="457">
        <v>16</v>
      </c>
      <c r="D423" s="460" t="str">
        <f>RevenueStreams!$E$20</f>
        <v>Per  Hr</v>
      </c>
      <c r="E423" s="461">
        <f>C423*RevenueStreams!$D$20</f>
        <v>400</v>
      </c>
      <c r="F423" s="457">
        <v>16</v>
      </c>
      <c r="G423" s="460" t="str">
        <f>RevenueStreams!$E$20</f>
        <v>Per  Hr</v>
      </c>
      <c r="H423" s="461">
        <f>F423*RevenueStreams!$D$20</f>
        <v>400</v>
      </c>
      <c r="I423" s="457">
        <v>16</v>
      </c>
      <c r="J423" s="460" t="str">
        <f>RevenueStreams!$E$20</f>
        <v>Per  Hr</v>
      </c>
      <c r="K423" s="461">
        <f>I423*RevenueStreams!$D$20</f>
        <v>400</v>
      </c>
      <c r="L423" s="457">
        <v>16</v>
      </c>
      <c r="M423" s="460" t="str">
        <f>RevenueStreams!$E$20</f>
        <v>Per  Hr</v>
      </c>
      <c r="N423" s="461">
        <f>L423*RevenueStreams!$D$20</f>
        <v>400</v>
      </c>
      <c r="O423" s="457">
        <v>16</v>
      </c>
      <c r="P423" s="460" t="str">
        <f>RevenueStreams!$E$20</f>
        <v>Per  Hr</v>
      </c>
      <c r="Q423" s="461">
        <f>O423*RevenueStreams!$D$20</f>
        <v>400</v>
      </c>
      <c r="R423" s="457">
        <v>16</v>
      </c>
      <c r="S423" s="460" t="str">
        <f>RevenueStreams!$E$20</f>
        <v>Per  Hr</v>
      </c>
      <c r="T423" s="461">
        <f>R423*RevenueStreams!$D$20</f>
        <v>400</v>
      </c>
      <c r="U423" s="457">
        <v>16</v>
      </c>
      <c r="V423" s="460" t="str">
        <f>RevenueStreams!$E$20</f>
        <v>Per  Hr</v>
      </c>
      <c r="W423" s="461">
        <f>U423*RevenueStreams!$D$20</f>
        <v>400</v>
      </c>
      <c r="X423" s="457">
        <v>16</v>
      </c>
      <c r="Y423" s="460" t="str">
        <f>RevenueStreams!$E$20</f>
        <v>Per  Hr</v>
      </c>
      <c r="Z423" s="461">
        <f>X423*RevenueStreams!$D$20</f>
        <v>400</v>
      </c>
      <c r="AA423" s="457">
        <v>16</v>
      </c>
      <c r="AB423" s="460" t="str">
        <f>RevenueStreams!$E$20</f>
        <v>Per  Hr</v>
      </c>
      <c r="AC423" s="461">
        <f>AA423*RevenueStreams!$D$20</f>
        <v>400</v>
      </c>
      <c r="AD423" s="457">
        <v>16</v>
      </c>
      <c r="AE423" s="460" t="str">
        <f>RevenueStreams!$E$20</f>
        <v>Per  Hr</v>
      </c>
      <c r="AF423" s="461">
        <f>AD423*RevenueStreams!$D$20</f>
        <v>400</v>
      </c>
      <c r="AG423" s="457">
        <v>16</v>
      </c>
      <c r="AH423" s="460" t="str">
        <f>RevenueStreams!$E$20</f>
        <v>Per  Hr</v>
      </c>
      <c r="AI423" s="461">
        <f>AG423*RevenueStreams!$D$20</f>
        <v>400</v>
      </c>
      <c r="AJ423" s="457">
        <v>16</v>
      </c>
      <c r="AK423" s="460" t="str">
        <f>RevenueStreams!$E$20</f>
        <v>Per  Hr</v>
      </c>
      <c r="AL423" s="461">
        <f>AJ423*RevenueStreams!$D$20</f>
        <v>400</v>
      </c>
    </row>
    <row r="424" spans="1:38" x14ac:dyDescent="0.35">
      <c r="A424" s="471">
        <f t="shared" si="25"/>
        <v>0</v>
      </c>
      <c r="B424" s="459" t="s">
        <v>497</v>
      </c>
      <c r="C424" s="457">
        <v>0</v>
      </c>
      <c r="D424" s="460" t="str">
        <f>RevenueStreams!$E$21</f>
        <v>Per  Hr</v>
      </c>
      <c r="E424" s="461">
        <f>C424*RevenueStreams!$D$21</f>
        <v>0</v>
      </c>
      <c r="F424" s="457">
        <v>0</v>
      </c>
      <c r="G424" s="460" t="str">
        <f>RevenueStreams!$E$21</f>
        <v>Per  Hr</v>
      </c>
      <c r="H424" s="461">
        <f>F424*RevenueStreams!$D$21</f>
        <v>0</v>
      </c>
      <c r="I424" s="457">
        <v>0</v>
      </c>
      <c r="J424" s="460" t="str">
        <f>RevenueStreams!$E$21</f>
        <v>Per  Hr</v>
      </c>
      <c r="K424" s="461">
        <f>I424*RevenueStreams!$D$21</f>
        <v>0</v>
      </c>
      <c r="L424" s="457">
        <v>0</v>
      </c>
      <c r="M424" s="460" t="str">
        <f>RevenueStreams!$E$21</f>
        <v>Per  Hr</v>
      </c>
      <c r="N424" s="461">
        <f>L424*RevenueStreams!$D$21</f>
        <v>0</v>
      </c>
      <c r="O424" s="457">
        <v>0</v>
      </c>
      <c r="P424" s="460" t="str">
        <f>RevenueStreams!$E$21</f>
        <v>Per  Hr</v>
      </c>
      <c r="Q424" s="461">
        <f>O424*RevenueStreams!$D$21</f>
        <v>0</v>
      </c>
      <c r="R424" s="457">
        <v>0</v>
      </c>
      <c r="S424" s="460" t="str">
        <f>RevenueStreams!$E$21</f>
        <v>Per  Hr</v>
      </c>
      <c r="T424" s="461">
        <f>R424*RevenueStreams!$D$21</f>
        <v>0</v>
      </c>
      <c r="U424" s="457">
        <v>0</v>
      </c>
      <c r="V424" s="460" t="str">
        <f>RevenueStreams!$E$21</f>
        <v>Per  Hr</v>
      </c>
      <c r="W424" s="461">
        <f>U424*RevenueStreams!$D$21</f>
        <v>0</v>
      </c>
      <c r="X424" s="457">
        <v>0</v>
      </c>
      <c r="Y424" s="460" t="str">
        <f>RevenueStreams!$E$21</f>
        <v>Per  Hr</v>
      </c>
      <c r="Z424" s="461">
        <f>X424*RevenueStreams!$D$21</f>
        <v>0</v>
      </c>
      <c r="AA424" s="457">
        <v>0</v>
      </c>
      <c r="AB424" s="460" t="str">
        <f>RevenueStreams!$E$21</f>
        <v>Per  Hr</v>
      </c>
      <c r="AC424" s="461">
        <f>AA424*RevenueStreams!$D$21</f>
        <v>0</v>
      </c>
      <c r="AD424" s="457">
        <v>0</v>
      </c>
      <c r="AE424" s="460" t="str">
        <f>RevenueStreams!$E$21</f>
        <v>Per  Hr</v>
      </c>
      <c r="AF424" s="461">
        <f>AD424*RevenueStreams!$D$21</f>
        <v>0</v>
      </c>
      <c r="AG424" s="457">
        <v>0</v>
      </c>
      <c r="AH424" s="460" t="str">
        <f>RevenueStreams!$E$21</f>
        <v>Per  Hr</v>
      </c>
      <c r="AI424" s="461">
        <f>AG424*RevenueStreams!$D$21</f>
        <v>0</v>
      </c>
      <c r="AJ424" s="457">
        <v>0</v>
      </c>
      <c r="AK424" s="460" t="str">
        <f>RevenueStreams!$E$21</f>
        <v>Per  Hr</v>
      </c>
      <c r="AL424" s="461">
        <f>AJ424*RevenueStreams!$D$21</f>
        <v>0</v>
      </c>
    </row>
    <row r="425" spans="1:38" x14ac:dyDescent="0.35">
      <c r="A425" s="471">
        <f t="shared" si="25"/>
        <v>0</v>
      </c>
      <c r="B425" s="459" t="s">
        <v>498</v>
      </c>
      <c r="C425" s="457">
        <v>0</v>
      </c>
      <c r="D425" s="460" t="str">
        <f>RevenueStreams!$E$22</f>
        <v>Per  Hr</v>
      </c>
      <c r="E425" s="461">
        <f>C425*RevenueStreams!$D$22</f>
        <v>0</v>
      </c>
      <c r="F425" s="457">
        <v>0</v>
      </c>
      <c r="G425" s="460" t="str">
        <f>RevenueStreams!$E$22</f>
        <v>Per  Hr</v>
      </c>
      <c r="H425" s="461">
        <f>F425*RevenueStreams!$D$22</f>
        <v>0</v>
      </c>
      <c r="I425" s="457">
        <v>0</v>
      </c>
      <c r="J425" s="460" t="str">
        <f>RevenueStreams!$E$22</f>
        <v>Per  Hr</v>
      </c>
      <c r="K425" s="461">
        <f>I425*RevenueStreams!$D$22</f>
        <v>0</v>
      </c>
      <c r="L425" s="457">
        <v>0</v>
      </c>
      <c r="M425" s="460" t="str">
        <f>RevenueStreams!$E$22</f>
        <v>Per  Hr</v>
      </c>
      <c r="N425" s="461">
        <f>L425*RevenueStreams!$D$22</f>
        <v>0</v>
      </c>
      <c r="O425" s="457">
        <v>0</v>
      </c>
      <c r="P425" s="460" t="str">
        <f>RevenueStreams!$E$22</f>
        <v>Per  Hr</v>
      </c>
      <c r="Q425" s="461">
        <f>O425*RevenueStreams!$D$22</f>
        <v>0</v>
      </c>
      <c r="R425" s="457">
        <v>0</v>
      </c>
      <c r="S425" s="460" t="str">
        <f>RevenueStreams!$E$22</f>
        <v>Per  Hr</v>
      </c>
      <c r="T425" s="461">
        <f>R425*RevenueStreams!$D$22</f>
        <v>0</v>
      </c>
      <c r="U425" s="457">
        <v>0</v>
      </c>
      <c r="V425" s="460" t="str">
        <f>RevenueStreams!$E$22</f>
        <v>Per  Hr</v>
      </c>
      <c r="W425" s="461">
        <f>U425*RevenueStreams!$D$22</f>
        <v>0</v>
      </c>
      <c r="X425" s="457">
        <v>0</v>
      </c>
      <c r="Y425" s="460" t="str">
        <f>RevenueStreams!$E$22</f>
        <v>Per  Hr</v>
      </c>
      <c r="Z425" s="461">
        <f>X425*RevenueStreams!$D$22</f>
        <v>0</v>
      </c>
      <c r="AA425" s="457">
        <v>0</v>
      </c>
      <c r="AB425" s="460" t="str">
        <f>RevenueStreams!$E$22</f>
        <v>Per  Hr</v>
      </c>
      <c r="AC425" s="461">
        <f>AA425*RevenueStreams!$D$22</f>
        <v>0</v>
      </c>
      <c r="AD425" s="457">
        <v>0</v>
      </c>
      <c r="AE425" s="460" t="str">
        <f>RevenueStreams!$E$22</f>
        <v>Per  Hr</v>
      </c>
      <c r="AF425" s="461">
        <f>AD425*RevenueStreams!$D$22</f>
        <v>0</v>
      </c>
      <c r="AG425" s="457">
        <v>0</v>
      </c>
      <c r="AH425" s="460" t="str">
        <f>RevenueStreams!$E$22</f>
        <v>Per  Hr</v>
      </c>
      <c r="AI425" s="461">
        <f>AG425*RevenueStreams!$D$22</f>
        <v>0</v>
      </c>
      <c r="AJ425" s="457">
        <v>0</v>
      </c>
      <c r="AK425" s="460" t="str">
        <f>RevenueStreams!$E$22</f>
        <v>Per  Hr</v>
      </c>
      <c r="AL425" s="461">
        <f>AJ425*RevenueStreams!$D$22</f>
        <v>0</v>
      </c>
    </row>
    <row r="426" spans="1:38" x14ac:dyDescent="0.35">
      <c r="A426" s="471">
        <f t="shared" si="25"/>
        <v>5400</v>
      </c>
      <c r="B426" s="459" t="s">
        <v>272</v>
      </c>
      <c r="C426" s="457">
        <v>18</v>
      </c>
      <c r="D426" s="460" t="str">
        <f>RevenueStreams!$E$23</f>
        <v>Per  Pallet</v>
      </c>
      <c r="E426" s="461">
        <f>C426*RevenueStreams!$D$23</f>
        <v>450</v>
      </c>
      <c r="F426" s="457">
        <v>18</v>
      </c>
      <c r="G426" s="460" t="str">
        <f>RevenueStreams!$E$23</f>
        <v>Per  Pallet</v>
      </c>
      <c r="H426" s="461">
        <f>F426*RevenueStreams!$D$23</f>
        <v>450</v>
      </c>
      <c r="I426" s="457">
        <v>18</v>
      </c>
      <c r="J426" s="460" t="str">
        <f>RevenueStreams!$E$23</f>
        <v>Per  Pallet</v>
      </c>
      <c r="K426" s="461">
        <f>I426*RevenueStreams!$D$23</f>
        <v>450</v>
      </c>
      <c r="L426" s="457">
        <v>18</v>
      </c>
      <c r="M426" s="460" t="str">
        <f>RevenueStreams!$E$23</f>
        <v>Per  Pallet</v>
      </c>
      <c r="N426" s="461">
        <f>L426*RevenueStreams!$D$23</f>
        <v>450</v>
      </c>
      <c r="O426" s="457">
        <v>18</v>
      </c>
      <c r="P426" s="460" t="str">
        <f>RevenueStreams!$E$23</f>
        <v>Per  Pallet</v>
      </c>
      <c r="Q426" s="461">
        <f>O426*RevenueStreams!$D$23</f>
        <v>450</v>
      </c>
      <c r="R426" s="457">
        <v>18</v>
      </c>
      <c r="S426" s="460" t="str">
        <f>RevenueStreams!$E$23</f>
        <v>Per  Pallet</v>
      </c>
      <c r="T426" s="461">
        <f>R426*RevenueStreams!$D$23</f>
        <v>450</v>
      </c>
      <c r="U426" s="457">
        <v>18</v>
      </c>
      <c r="V426" s="460" t="str">
        <f>RevenueStreams!$E$23</f>
        <v>Per  Pallet</v>
      </c>
      <c r="W426" s="461">
        <f>U426*RevenueStreams!$D$23</f>
        <v>450</v>
      </c>
      <c r="X426" s="457">
        <v>18</v>
      </c>
      <c r="Y426" s="460" t="str">
        <f>RevenueStreams!$E$23</f>
        <v>Per  Pallet</v>
      </c>
      <c r="Z426" s="461">
        <f>X426*RevenueStreams!$D$23</f>
        <v>450</v>
      </c>
      <c r="AA426" s="457">
        <v>18</v>
      </c>
      <c r="AB426" s="460" t="str">
        <f>RevenueStreams!$E$23</f>
        <v>Per  Pallet</v>
      </c>
      <c r="AC426" s="461">
        <f>AA426*RevenueStreams!$D$23</f>
        <v>450</v>
      </c>
      <c r="AD426" s="457">
        <v>18</v>
      </c>
      <c r="AE426" s="460" t="str">
        <f>RevenueStreams!$E$23</f>
        <v>Per  Pallet</v>
      </c>
      <c r="AF426" s="461">
        <f>AD426*RevenueStreams!$D$23</f>
        <v>450</v>
      </c>
      <c r="AG426" s="457">
        <v>18</v>
      </c>
      <c r="AH426" s="460" t="str">
        <f>RevenueStreams!$E$23</f>
        <v>Per  Pallet</v>
      </c>
      <c r="AI426" s="461">
        <f>AG426*RevenueStreams!$D$23</f>
        <v>450</v>
      </c>
      <c r="AJ426" s="457">
        <v>18</v>
      </c>
      <c r="AK426" s="460" t="str">
        <f>RevenueStreams!$E$23</f>
        <v>Per  Pallet</v>
      </c>
      <c r="AL426" s="461">
        <f>AJ426*RevenueStreams!$D$23</f>
        <v>450</v>
      </c>
    </row>
    <row r="427" spans="1:38" x14ac:dyDescent="0.35">
      <c r="A427" s="471">
        <f t="shared" si="25"/>
        <v>7560</v>
      </c>
      <c r="B427" s="459" t="s">
        <v>490</v>
      </c>
      <c r="C427" s="457">
        <v>18</v>
      </c>
      <c r="D427" s="460" t="str">
        <f>RevenueStreams!$E$24</f>
        <v>Per  Pallet</v>
      </c>
      <c r="E427" s="461">
        <f>C427*RevenueStreams!$D$24</f>
        <v>630</v>
      </c>
      <c r="F427" s="457">
        <v>18</v>
      </c>
      <c r="G427" s="460" t="str">
        <f>RevenueStreams!$E$24</f>
        <v>Per  Pallet</v>
      </c>
      <c r="H427" s="461">
        <f>F427*RevenueStreams!$D$24</f>
        <v>630</v>
      </c>
      <c r="I427" s="457">
        <v>18</v>
      </c>
      <c r="J427" s="460" t="str">
        <f>RevenueStreams!$E$24</f>
        <v>Per  Pallet</v>
      </c>
      <c r="K427" s="461">
        <f>I427*RevenueStreams!$D$24</f>
        <v>630</v>
      </c>
      <c r="L427" s="457">
        <v>18</v>
      </c>
      <c r="M427" s="460" t="str">
        <f>RevenueStreams!$E$24</f>
        <v>Per  Pallet</v>
      </c>
      <c r="N427" s="461">
        <f>L427*RevenueStreams!$D$24</f>
        <v>630</v>
      </c>
      <c r="O427" s="457">
        <v>18</v>
      </c>
      <c r="P427" s="460" t="str">
        <f>RevenueStreams!$E$24</f>
        <v>Per  Pallet</v>
      </c>
      <c r="Q427" s="461">
        <f>O427*RevenueStreams!$D$24</f>
        <v>630</v>
      </c>
      <c r="R427" s="457">
        <v>18</v>
      </c>
      <c r="S427" s="460" t="str">
        <f>RevenueStreams!$E$24</f>
        <v>Per  Pallet</v>
      </c>
      <c r="T427" s="461">
        <f>R427*RevenueStreams!$D$24</f>
        <v>630</v>
      </c>
      <c r="U427" s="457">
        <v>18</v>
      </c>
      <c r="V427" s="460" t="str">
        <f>RevenueStreams!$E$24</f>
        <v>Per  Pallet</v>
      </c>
      <c r="W427" s="461">
        <f>U427*RevenueStreams!$D$24</f>
        <v>630</v>
      </c>
      <c r="X427" s="457">
        <v>18</v>
      </c>
      <c r="Y427" s="460" t="str">
        <f>RevenueStreams!$E$24</f>
        <v>Per  Pallet</v>
      </c>
      <c r="Z427" s="461">
        <f>X427*RevenueStreams!$D$24</f>
        <v>630</v>
      </c>
      <c r="AA427" s="457">
        <v>18</v>
      </c>
      <c r="AB427" s="460" t="str">
        <f>RevenueStreams!$E$24</f>
        <v>Per  Pallet</v>
      </c>
      <c r="AC427" s="461">
        <f>AA427*RevenueStreams!$D$24</f>
        <v>630</v>
      </c>
      <c r="AD427" s="457">
        <v>18</v>
      </c>
      <c r="AE427" s="460" t="str">
        <f>RevenueStreams!$E$24</f>
        <v>Per  Pallet</v>
      </c>
      <c r="AF427" s="461">
        <f>AD427*RevenueStreams!$D$24</f>
        <v>630</v>
      </c>
      <c r="AG427" s="457">
        <v>18</v>
      </c>
      <c r="AH427" s="460" t="str">
        <f>RevenueStreams!$E$24</f>
        <v>Per  Pallet</v>
      </c>
      <c r="AI427" s="461">
        <f>AG427*RevenueStreams!$D$24</f>
        <v>630</v>
      </c>
      <c r="AJ427" s="457">
        <v>18</v>
      </c>
      <c r="AK427" s="460" t="str">
        <f>RevenueStreams!$E$24</f>
        <v>Per  Pallet</v>
      </c>
      <c r="AL427" s="461">
        <f>AJ427*RevenueStreams!$D$24</f>
        <v>630</v>
      </c>
    </row>
    <row r="428" spans="1:38" x14ac:dyDescent="0.35">
      <c r="A428" s="471">
        <f t="shared" si="25"/>
        <v>9720</v>
      </c>
      <c r="B428" s="459" t="s">
        <v>491</v>
      </c>
      <c r="C428" s="457">
        <v>18</v>
      </c>
      <c r="D428" s="460" t="str">
        <f>RevenueStreams!$E$25</f>
        <v>Per  Pallet</v>
      </c>
      <c r="E428" s="461">
        <f>C428*RevenueStreams!$D$25</f>
        <v>810</v>
      </c>
      <c r="F428" s="457">
        <v>18</v>
      </c>
      <c r="G428" s="460" t="str">
        <f>RevenueStreams!$E$25</f>
        <v>Per  Pallet</v>
      </c>
      <c r="H428" s="461">
        <f>F428*RevenueStreams!$D$25</f>
        <v>810</v>
      </c>
      <c r="I428" s="457">
        <v>18</v>
      </c>
      <c r="J428" s="460" t="str">
        <f>RevenueStreams!$E$25</f>
        <v>Per  Pallet</v>
      </c>
      <c r="K428" s="461">
        <f>I428*RevenueStreams!$D$25</f>
        <v>810</v>
      </c>
      <c r="L428" s="457">
        <v>18</v>
      </c>
      <c r="M428" s="460" t="str">
        <f>RevenueStreams!$E$25</f>
        <v>Per  Pallet</v>
      </c>
      <c r="N428" s="461">
        <f>L428*RevenueStreams!$D$25</f>
        <v>810</v>
      </c>
      <c r="O428" s="457">
        <v>18</v>
      </c>
      <c r="P428" s="460" t="str">
        <f>RevenueStreams!$E$25</f>
        <v>Per  Pallet</v>
      </c>
      <c r="Q428" s="461">
        <f>O428*RevenueStreams!$D$25</f>
        <v>810</v>
      </c>
      <c r="R428" s="457">
        <v>18</v>
      </c>
      <c r="S428" s="460" t="str">
        <f>RevenueStreams!$E$25</f>
        <v>Per  Pallet</v>
      </c>
      <c r="T428" s="461">
        <f>R428*RevenueStreams!$D$25</f>
        <v>810</v>
      </c>
      <c r="U428" s="457">
        <v>18</v>
      </c>
      <c r="V428" s="460" t="str">
        <f>RevenueStreams!$E$25</f>
        <v>Per  Pallet</v>
      </c>
      <c r="W428" s="461">
        <f>U428*RevenueStreams!$D$25</f>
        <v>810</v>
      </c>
      <c r="X428" s="457">
        <v>18</v>
      </c>
      <c r="Y428" s="460" t="str">
        <f>RevenueStreams!$E$25</f>
        <v>Per  Pallet</v>
      </c>
      <c r="Z428" s="461">
        <f>X428*RevenueStreams!$D$25</f>
        <v>810</v>
      </c>
      <c r="AA428" s="457">
        <v>18</v>
      </c>
      <c r="AB428" s="460" t="str">
        <f>RevenueStreams!$E$25</f>
        <v>Per  Pallet</v>
      </c>
      <c r="AC428" s="461">
        <f>AA428*RevenueStreams!$D$25</f>
        <v>810</v>
      </c>
      <c r="AD428" s="457">
        <v>18</v>
      </c>
      <c r="AE428" s="460" t="str">
        <f>RevenueStreams!$E$25</f>
        <v>Per  Pallet</v>
      </c>
      <c r="AF428" s="461">
        <f>AD428*RevenueStreams!$D$25</f>
        <v>810</v>
      </c>
      <c r="AG428" s="457">
        <v>18</v>
      </c>
      <c r="AH428" s="460" t="str">
        <f>RevenueStreams!$E$25</f>
        <v>Per  Pallet</v>
      </c>
      <c r="AI428" s="461">
        <f>AG428*RevenueStreams!$D$25</f>
        <v>810</v>
      </c>
      <c r="AJ428" s="457">
        <v>18</v>
      </c>
      <c r="AK428" s="460" t="str">
        <f>RevenueStreams!$E$25</f>
        <v>Per  Pallet</v>
      </c>
      <c r="AL428" s="461">
        <f>AJ428*RevenueStreams!$D$25</f>
        <v>810</v>
      </c>
    </row>
    <row r="429" spans="1:38" x14ac:dyDescent="0.35">
      <c r="A429" s="471">
        <f t="shared" si="25"/>
        <v>11520</v>
      </c>
      <c r="B429" s="459" t="s">
        <v>519</v>
      </c>
      <c r="C429" s="457">
        <f>3*8*4</f>
        <v>96</v>
      </c>
      <c r="D429" s="460" t="str">
        <f>RevenueStreams!$E$26</f>
        <v>Per Hr</v>
      </c>
      <c r="E429" s="461">
        <f>C429*RevenueStreams!$D$26</f>
        <v>960</v>
      </c>
      <c r="F429" s="457">
        <f>3*8*4</f>
        <v>96</v>
      </c>
      <c r="G429" s="460" t="str">
        <f>RevenueStreams!$E$26</f>
        <v>Per Hr</v>
      </c>
      <c r="H429" s="461">
        <f>F429*RevenueStreams!$D$26</f>
        <v>960</v>
      </c>
      <c r="I429" s="457">
        <f>3*8*4</f>
        <v>96</v>
      </c>
      <c r="J429" s="460" t="str">
        <f>RevenueStreams!$E$26</f>
        <v>Per Hr</v>
      </c>
      <c r="K429" s="461">
        <f>I429*RevenueStreams!$D$26</f>
        <v>960</v>
      </c>
      <c r="L429" s="457">
        <f>3*8*4</f>
        <v>96</v>
      </c>
      <c r="M429" s="460" t="str">
        <f>RevenueStreams!$E$26</f>
        <v>Per Hr</v>
      </c>
      <c r="N429" s="461">
        <f>L429*RevenueStreams!$D$26</f>
        <v>960</v>
      </c>
      <c r="O429" s="457">
        <f>3*8*4</f>
        <v>96</v>
      </c>
      <c r="P429" s="460" t="str">
        <f>RevenueStreams!$E$26</f>
        <v>Per Hr</v>
      </c>
      <c r="Q429" s="461">
        <f>O429*RevenueStreams!$D$26</f>
        <v>960</v>
      </c>
      <c r="R429" s="457">
        <f>3*8*4</f>
        <v>96</v>
      </c>
      <c r="S429" s="460" t="str">
        <f>RevenueStreams!$E$26</f>
        <v>Per Hr</v>
      </c>
      <c r="T429" s="461">
        <f>R429*RevenueStreams!$D$26</f>
        <v>960</v>
      </c>
      <c r="U429" s="457">
        <f>3*8*4</f>
        <v>96</v>
      </c>
      <c r="V429" s="460" t="str">
        <f>RevenueStreams!$E$26</f>
        <v>Per Hr</v>
      </c>
      <c r="W429" s="461">
        <f>U429*RevenueStreams!$D$26</f>
        <v>960</v>
      </c>
      <c r="X429" s="457">
        <f>3*8*4</f>
        <v>96</v>
      </c>
      <c r="Y429" s="460" t="str">
        <f>RevenueStreams!$E$26</f>
        <v>Per Hr</v>
      </c>
      <c r="Z429" s="461">
        <f>X429*RevenueStreams!$D$26</f>
        <v>960</v>
      </c>
      <c r="AA429" s="457">
        <f>3*8*4</f>
        <v>96</v>
      </c>
      <c r="AB429" s="460" t="str">
        <f>RevenueStreams!$E$26</f>
        <v>Per Hr</v>
      </c>
      <c r="AC429" s="461">
        <f>AA429*RevenueStreams!$D$26</f>
        <v>960</v>
      </c>
      <c r="AD429" s="457">
        <f>3*8*4</f>
        <v>96</v>
      </c>
      <c r="AE429" s="460" t="str">
        <f>RevenueStreams!$E$26</f>
        <v>Per Hr</v>
      </c>
      <c r="AF429" s="461">
        <f>AD429*RevenueStreams!$D$26</f>
        <v>960</v>
      </c>
      <c r="AG429" s="457">
        <f>3*8*4</f>
        <v>96</v>
      </c>
      <c r="AH429" s="460" t="str">
        <f>RevenueStreams!$E$26</f>
        <v>Per Hr</v>
      </c>
      <c r="AI429" s="461">
        <f>AG429*RevenueStreams!$D$26</f>
        <v>960</v>
      </c>
      <c r="AJ429" s="457">
        <f>3*8*4</f>
        <v>96</v>
      </c>
      <c r="AK429" s="460" t="str">
        <f>RevenueStreams!$E$26</f>
        <v>Per Hr</v>
      </c>
      <c r="AL429" s="461">
        <f>AJ429*RevenueStreams!$D$26</f>
        <v>960</v>
      </c>
    </row>
    <row r="430" spans="1:38" x14ac:dyDescent="0.35">
      <c r="A430" s="471">
        <f t="shared" si="25"/>
        <v>11520</v>
      </c>
      <c r="B430" s="459" t="s">
        <v>492</v>
      </c>
      <c r="C430" s="457">
        <f>3*8*4</f>
        <v>96</v>
      </c>
      <c r="D430" s="460" t="str">
        <f>RevenueStreams!$E$27</f>
        <v>Per Hr</v>
      </c>
      <c r="E430" s="461">
        <f>C430*RevenueStreams!$D$27</f>
        <v>960</v>
      </c>
      <c r="F430" s="457">
        <f>3*8*4</f>
        <v>96</v>
      </c>
      <c r="G430" s="460" t="str">
        <f>RevenueStreams!$E$27</f>
        <v>Per Hr</v>
      </c>
      <c r="H430" s="461">
        <f>F430*RevenueStreams!$D$27</f>
        <v>960</v>
      </c>
      <c r="I430" s="457">
        <f>3*8*4</f>
        <v>96</v>
      </c>
      <c r="J430" s="460" t="str">
        <f>RevenueStreams!$E$27</f>
        <v>Per Hr</v>
      </c>
      <c r="K430" s="461">
        <f>I430*RevenueStreams!$D$27</f>
        <v>960</v>
      </c>
      <c r="L430" s="457">
        <f>3*8*4</f>
        <v>96</v>
      </c>
      <c r="M430" s="460" t="str">
        <f>RevenueStreams!$E$27</f>
        <v>Per Hr</v>
      </c>
      <c r="N430" s="461">
        <f>L430*RevenueStreams!$D$27</f>
        <v>960</v>
      </c>
      <c r="O430" s="457">
        <f>3*8*4</f>
        <v>96</v>
      </c>
      <c r="P430" s="460" t="str">
        <f>RevenueStreams!$E$27</f>
        <v>Per Hr</v>
      </c>
      <c r="Q430" s="461">
        <f>O430*RevenueStreams!$D$27</f>
        <v>960</v>
      </c>
      <c r="R430" s="457">
        <f>3*8*4</f>
        <v>96</v>
      </c>
      <c r="S430" s="460" t="str">
        <f>RevenueStreams!$E$27</f>
        <v>Per Hr</v>
      </c>
      <c r="T430" s="461">
        <f>R430*RevenueStreams!$D$27</f>
        <v>960</v>
      </c>
      <c r="U430" s="457">
        <f>3*8*4</f>
        <v>96</v>
      </c>
      <c r="V430" s="460" t="str">
        <f>RevenueStreams!$E$27</f>
        <v>Per Hr</v>
      </c>
      <c r="W430" s="461">
        <f>U430*RevenueStreams!$D$27</f>
        <v>960</v>
      </c>
      <c r="X430" s="457">
        <f>3*8*4</f>
        <v>96</v>
      </c>
      <c r="Y430" s="460" t="str">
        <f>RevenueStreams!$E$27</f>
        <v>Per Hr</v>
      </c>
      <c r="Z430" s="461">
        <f>X430*RevenueStreams!$D$27</f>
        <v>960</v>
      </c>
      <c r="AA430" s="457">
        <f>3*8*4</f>
        <v>96</v>
      </c>
      <c r="AB430" s="460" t="str">
        <f>RevenueStreams!$E$27</f>
        <v>Per Hr</v>
      </c>
      <c r="AC430" s="461">
        <f>AA430*RevenueStreams!$D$27</f>
        <v>960</v>
      </c>
      <c r="AD430" s="457">
        <f>3*8*4</f>
        <v>96</v>
      </c>
      <c r="AE430" s="460" t="str">
        <f>RevenueStreams!$E$27</f>
        <v>Per Hr</v>
      </c>
      <c r="AF430" s="461">
        <f>AD430*RevenueStreams!$D$27</f>
        <v>960</v>
      </c>
      <c r="AG430" s="457">
        <f>3*8*4</f>
        <v>96</v>
      </c>
      <c r="AH430" s="460" t="str">
        <f>RevenueStreams!$E$27</f>
        <v>Per Hr</v>
      </c>
      <c r="AI430" s="461">
        <f>AG430*RevenueStreams!$D$27</f>
        <v>960</v>
      </c>
      <c r="AJ430" s="457">
        <f>3*8*4</f>
        <v>96</v>
      </c>
      <c r="AK430" s="460" t="str">
        <f>RevenueStreams!$E$27</f>
        <v>Per Hr</v>
      </c>
      <c r="AL430" s="461">
        <f>AJ430*RevenueStreams!$D$27</f>
        <v>960</v>
      </c>
    </row>
    <row r="431" spans="1:38" x14ac:dyDescent="0.35">
      <c r="A431" s="471">
        <f t="shared" si="25"/>
        <v>7344</v>
      </c>
      <c r="B431" s="459" t="s">
        <v>502</v>
      </c>
      <c r="C431" s="457">
        <v>0</v>
      </c>
      <c r="D431" s="460" t="str">
        <f>RevenueStreams!$E$29</f>
        <v>Per Hr</v>
      </c>
      <c r="E431" s="461">
        <f>C431*RevenueStreams!$D$29</f>
        <v>0</v>
      </c>
      <c r="F431" s="457">
        <v>0</v>
      </c>
      <c r="G431" s="460" t="str">
        <f>RevenueStreams!$E$29</f>
        <v>Per Hr</v>
      </c>
      <c r="H431" s="461">
        <f>F431*RevenueStreams!$D$29</f>
        <v>0</v>
      </c>
      <c r="I431" s="457">
        <v>0</v>
      </c>
      <c r="J431" s="460" t="str">
        <f>RevenueStreams!$E$29</f>
        <v>Per Hr</v>
      </c>
      <c r="K431" s="461">
        <f>I431*RevenueStreams!$D$29</f>
        <v>0</v>
      </c>
      <c r="L431" s="457">
        <v>0</v>
      </c>
      <c r="M431" s="460" t="str">
        <f>RevenueStreams!$E$29</f>
        <v>Per Hr</v>
      </c>
      <c r="N431" s="461">
        <f>L431*RevenueStreams!$D$29</f>
        <v>0</v>
      </c>
      <c r="O431" s="457">
        <v>0</v>
      </c>
      <c r="P431" s="460" t="str">
        <f>RevenueStreams!$E$29</f>
        <v>Per Hr</v>
      </c>
      <c r="Q431" s="461">
        <f>O431*RevenueStreams!$D$29</f>
        <v>0</v>
      </c>
      <c r="R431" s="457">
        <v>0</v>
      </c>
      <c r="S431" s="460" t="str">
        <f>RevenueStreams!$E$29</f>
        <v>Per Hr</v>
      </c>
      <c r="T431" s="461">
        <f>R431*RevenueStreams!$D$29</f>
        <v>0</v>
      </c>
      <c r="U431" s="457">
        <f>3*8*4</f>
        <v>96</v>
      </c>
      <c r="V431" s="460" t="str">
        <f>RevenueStreams!$E$29</f>
        <v>Per Hr</v>
      </c>
      <c r="W431" s="461">
        <f>U431*RevenueStreams!$D$29</f>
        <v>2448</v>
      </c>
      <c r="X431" s="457">
        <f>3*8*4</f>
        <v>96</v>
      </c>
      <c r="Y431" s="460" t="str">
        <f>RevenueStreams!$E$29</f>
        <v>Per Hr</v>
      </c>
      <c r="Z431" s="461">
        <f>X431*RevenueStreams!$D$29</f>
        <v>2448</v>
      </c>
      <c r="AA431" s="457">
        <f>3*8*4</f>
        <v>96</v>
      </c>
      <c r="AB431" s="460" t="str">
        <f>RevenueStreams!$E$29</f>
        <v>Per Hr</v>
      </c>
      <c r="AC431" s="461">
        <f>AA431*RevenueStreams!$D$29</f>
        <v>2448</v>
      </c>
      <c r="AD431" s="457">
        <v>0</v>
      </c>
      <c r="AE431" s="460" t="str">
        <f>RevenueStreams!$E$29</f>
        <v>Per Hr</v>
      </c>
      <c r="AF431" s="461">
        <f>AD431*RevenueStreams!$D$29</f>
        <v>0</v>
      </c>
      <c r="AG431" s="457">
        <v>0</v>
      </c>
      <c r="AH431" s="460" t="str">
        <f>RevenueStreams!$E$29</f>
        <v>Per Hr</v>
      </c>
      <c r="AI431" s="461">
        <f>AG431*RevenueStreams!$D$29</f>
        <v>0</v>
      </c>
      <c r="AJ431" s="457">
        <v>0</v>
      </c>
      <c r="AK431" s="460" t="str">
        <f>RevenueStreams!$E$29</f>
        <v>Per Hr</v>
      </c>
      <c r="AL431" s="461">
        <f>AJ431*RevenueStreams!$D$29</f>
        <v>0</v>
      </c>
    </row>
    <row r="432" spans="1:38" x14ac:dyDescent="0.35">
      <c r="A432" s="471">
        <f t="shared" si="25"/>
        <v>18259.560719999998</v>
      </c>
      <c r="B432" s="459" t="s">
        <v>503</v>
      </c>
      <c r="C432" s="457">
        <v>0</v>
      </c>
      <c r="D432" s="460" t="str">
        <f>RevenueStreams!$E$30</f>
        <v>Per Hr</v>
      </c>
      <c r="E432" s="461">
        <f>C432*RevenueStreams!$D$30</f>
        <v>0</v>
      </c>
      <c r="F432" s="457">
        <v>0</v>
      </c>
      <c r="G432" s="460" t="str">
        <f>RevenueStreams!$E$30</f>
        <v>Per Hr</v>
      </c>
      <c r="H432" s="461">
        <f>F432*RevenueStreams!$D$30</f>
        <v>0</v>
      </c>
      <c r="I432" s="457">
        <v>0</v>
      </c>
      <c r="J432" s="460" t="str">
        <f>RevenueStreams!$E$30</f>
        <v>Per Hr</v>
      </c>
      <c r="K432" s="461">
        <f>I432*RevenueStreams!$D$30</f>
        <v>0</v>
      </c>
      <c r="L432" s="457">
        <f>3*8*4</f>
        <v>96</v>
      </c>
      <c r="M432" s="460" t="str">
        <f>RevenueStreams!$E$30</f>
        <v>Per Hr</v>
      </c>
      <c r="N432" s="461">
        <f>L432*RevenueStreams!$D$30</f>
        <v>6086.5202399999989</v>
      </c>
      <c r="O432" s="457">
        <f>3*8*4</f>
        <v>96</v>
      </c>
      <c r="P432" s="460" t="str">
        <f>RevenueStreams!$E$30</f>
        <v>Per Hr</v>
      </c>
      <c r="Q432" s="461">
        <f>O432*RevenueStreams!$D$30</f>
        <v>6086.5202399999989</v>
      </c>
      <c r="R432" s="457">
        <f>3*8*4</f>
        <v>96</v>
      </c>
      <c r="S432" s="460" t="str">
        <f>RevenueStreams!$E$30</f>
        <v>Per Hr</v>
      </c>
      <c r="T432" s="461">
        <f>R432*RevenueStreams!$D$30</f>
        <v>6086.5202399999989</v>
      </c>
      <c r="U432" s="457">
        <v>0</v>
      </c>
      <c r="V432" s="460" t="str">
        <f>RevenueStreams!$E$30</f>
        <v>Per Hr</v>
      </c>
      <c r="W432" s="461">
        <f>U432*RevenueStreams!$D$30</f>
        <v>0</v>
      </c>
      <c r="X432" s="457">
        <v>0</v>
      </c>
      <c r="Y432" s="460" t="str">
        <f>RevenueStreams!$E$30</f>
        <v>Per Hr</v>
      </c>
      <c r="Z432" s="461">
        <f>X432*RevenueStreams!$D$30</f>
        <v>0</v>
      </c>
      <c r="AA432" s="457">
        <v>0</v>
      </c>
      <c r="AB432" s="460" t="str">
        <f>RevenueStreams!$E$30</f>
        <v>Per Hr</v>
      </c>
      <c r="AC432" s="461">
        <f>AA432*RevenueStreams!$D$30</f>
        <v>0</v>
      </c>
      <c r="AD432" s="457">
        <v>0</v>
      </c>
      <c r="AE432" s="460" t="str">
        <f>RevenueStreams!$E$30</f>
        <v>Per Hr</v>
      </c>
      <c r="AF432" s="461">
        <f>AD432*RevenueStreams!$D$30</f>
        <v>0</v>
      </c>
      <c r="AG432" s="457">
        <v>0</v>
      </c>
      <c r="AH432" s="460" t="str">
        <f>RevenueStreams!$E$30</f>
        <v>Per Hr</v>
      </c>
      <c r="AI432" s="461">
        <f>AG432*RevenueStreams!$D$30</f>
        <v>0</v>
      </c>
      <c r="AJ432" s="457">
        <v>0</v>
      </c>
      <c r="AK432" s="460" t="str">
        <f>RevenueStreams!$E$30</f>
        <v>Per Hr</v>
      </c>
      <c r="AL432" s="461">
        <f>AJ432*RevenueStreams!$D$30</f>
        <v>0</v>
      </c>
    </row>
    <row r="433" spans="1:41" x14ac:dyDescent="0.35">
      <c r="A433" s="471">
        <f t="shared" si="25"/>
        <v>5044.616</v>
      </c>
      <c r="B433" s="459" t="s">
        <v>507</v>
      </c>
      <c r="C433" s="457">
        <v>0</v>
      </c>
      <c r="D433" s="460" t="str">
        <f>RevenueStreams!$E$31</f>
        <v>Per Hr</v>
      </c>
      <c r="E433" s="461">
        <f>C433*RevenueStreams!$D$31</f>
        <v>0</v>
      </c>
      <c r="F433" s="457">
        <v>0</v>
      </c>
      <c r="G433" s="460" t="str">
        <f>RevenueStreams!$E$31</f>
        <v>Per Hr</v>
      </c>
      <c r="H433" s="461">
        <f>F433*RevenueStreams!$D$31</f>
        <v>0</v>
      </c>
      <c r="I433" s="457">
        <v>0</v>
      </c>
      <c r="J433" s="460" t="str">
        <f>RevenueStreams!$E$31</f>
        <v>Per Hr</v>
      </c>
      <c r="K433" s="461">
        <f>I433*RevenueStreams!$D$31</f>
        <v>0</v>
      </c>
      <c r="L433" s="457">
        <v>0</v>
      </c>
      <c r="M433" s="460" t="str">
        <f>RevenueStreams!$E$31</f>
        <v>Per Hr</v>
      </c>
      <c r="N433" s="461">
        <f>L433*RevenueStreams!$D$31</f>
        <v>0</v>
      </c>
      <c r="O433" s="457">
        <f>2*8*2</f>
        <v>32</v>
      </c>
      <c r="P433" s="460" t="str">
        <f>RevenueStreams!$E$31</f>
        <v>Per Hr</v>
      </c>
      <c r="Q433" s="461">
        <f>O433*RevenueStreams!$D$31</f>
        <v>2522.308</v>
      </c>
      <c r="R433" s="457">
        <f>2*8*2</f>
        <v>32</v>
      </c>
      <c r="S433" s="460" t="str">
        <f>RevenueStreams!$E$31</f>
        <v>Per Hr</v>
      </c>
      <c r="T433" s="461">
        <f>R433*RevenueStreams!$D$31</f>
        <v>2522.308</v>
      </c>
      <c r="U433" s="457">
        <v>0</v>
      </c>
      <c r="V433" s="460" t="str">
        <f>RevenueStreams!$E$31</f>
        <v>Per Hr</v>
      </c>
      <c r="W433" s="461">
        <f>U433*RevenueStreams!$D$31</f>
        <v>0</v>
      </c>
      <c r="X433" s="457">
        <v>0</v>
      </c>
      <c r="Y433" s="460" t="str">
        <f>RevenueStreams!$E$31</f>
        <v>Per Hr</v>
      </c>
      <c r="Z433" s="461">
        <f>X433*RevenueStreams!$D$31</f>
        <v>0</v>
      </c>
      <c r="AA433" s="457">
        <v>0</v>
      </c>
      <c r="AB433" s="460" t="str">
        <f>RevenueStreams!$E$31</f>
        <v>Per Hr</v>
      </c>
      <c r="AC433" s="461">
        <f>AA433*RevenueStreams!$D$31</f>
        <v>0</v>
      </c>
      <c r="AD433" s="457">
        <v>0</v>
      </c>
      <c r="AE433" s="460" t="str">
        <f>RevenueStreams!$E$31</f>
        <v>Per Hr</v>
      </c>
      <c r="AF433" s="461">
        <f>AD433*RevenueStreams!$D$31</f>
        <v>0</v>
      </c>
      <c r="AG433" s="457">
        <v>0</v>
      </c>
      <c r="AH433" s="460" t="str">
        <f>RevenueStreams!$E$31</f>
        <v>Per Hr</v>
      </c>
      <c r="AI433" s="461">
        <f>AG433*RevenueStreams!$D$31</f>
        <v>0</v>
      </c>
      <c r="AJ433" s="457">
        <v>0</v>
      </c>
      <c r="AK433" s="460" t="str">
        <f>RevenueStreams!$E$31</f>
        <v>Per Hr</v>
      </c>
      <c r="AL433" s="461">
        <f>AJ433*RevenueStreams!$D$31</f>
        <v>0</v>
      </c>
    </row>
    <row r="434" spans="1:41" x14ac:dyDescent="0.35">
      <c r="A434" s="471">
        <f t="shared" si="25"/>
        <v>1181.4399999999998</v>
      </c>
      <c r="B434" s="459" t="s">
        <v>506</v>
      </c>
      <c r="C434" s="457">
        <v>0</v>
      </c>
      <c r="D434" s="460" t="str">
        <f>RevenueStreams!$E$32</f>
        <v>Per Hr</v>
      </c>
      <c r="E434" s="461">
        <f>C434*RevenueStreams!$D$32</f>
        <v>0</v>
      </c>
      <c r="F434" s="457">
        <v>0</v>
      </c>
      <c r="G434" s="460" t="str">
        <f>RevenueStreams!$E$32</f>
        <v>Per Hr</v>
      </c>
      <c r="H434" s="461">
        <f>F434*RevenueStreams!$D$32</f>
        <v>0</v>
      </c>
      <c r="I434" s="457">
        <v>0</v>
      </c>
      <c r="J434" s="460" t="str">
        <f>RevenueStreams!$E$32</f>
        <v>Per Hr</v>
      </c>
      <c r="K434" s="461">
        <f>I434*RevenueStreams!$D$32</f>
        <v>0</v>
      </c>
      <c r="L434" s="457">
        <f>8*1*4</f>
        <v>32</v>
      </c>
      <c r="M434" s="460" t="str">
        <f>RevenueStreams!$E$32</f>
        <v>Per Hr</v>
      </c>
      <c r="N434" s="461">
        <f>L434*RevenueStreams!$D$32</f>
        <v>393.81333333333328</v>
      </c>
      <c r="O434" s="457">
        <f>8*1*4</f>
        <v>32</v>
      </c>
      <c r="P434" s="460" t="str">
        <f>RevenueStreams!$E$32</f>
        <v>Per Hr</v>
      </c>
      <c r="Q434" s="461">
        <f>O434*RevenueStreams!$D$32</f>
        <v>393.81333333333328</v>
      </c>
      <c r="R434" s="457">
        <f>8*1*4</f>
        <v>32</v>
      </c>
      <c r="S434" s="460" t="str">
        <f>RevenueStreams!$E$32</f>
        <v>Per Hr</v>
      </c>
      <c r="T434" s="461">
        <f>R434*RevenueStreams!$D$32</f>
        <v>393.81333333333328</v>
      </c>
      <c r="U434" s="457">
        <v>0</v>
      </c>
      <c r="V434" s="460" t="str">
        <f>RevenueStreams!$E$32</f>
        <v>Per Hr</v>
      </c>
      <c r="W434" s="461">
        <f>U434*RevenueStreams!$D$32</f>
        <v>0</v>
      </c>
      <c r="X434" s="457">
        <v>0</v>
      </c>
      <c r="Y434" s="460" t="str">
        <f>RevenueStreams!$E$32</f>
        <v>Per Hr</v>
      </c>
      <c r="Z434" s="461">
        <f>X434*RevenueStreams!$D$32</f>
        <v>0</v>
      </c>
      <c r="AA434" s="457">
        <v>0</v>
      </c>
      <c r="AB434" s="460" t="str">
        <f>RevenueStreams!$E$32</f>
        <v>Per Hr</v>
      </c>
      <c r="AC434" s="461">
        <f>AA434*RevenueStreams!$D$32</f>
        <v>0</v>
      </c>
      <c r="AD434" s="457">
        <v>0</v>
      </c>
      <c r="AE434" s="460" t="str">
        <f>RevenueStreams!$E$32</f>
        <v>Per Hr</v>
      </c>
      <c r="AF434" s="461">
        <f>AD434*RevenueStreams!$D$32</f>
        <v>0</v>
      </c>
      <c r="AG434" s="457">
        <v>0</v>
      </c>
      <c r="AH434" s="460" t="str">
        <f>RevenueStreams!$E$32</f>
        <v>Per Hr</v>
      </c>
      <c r="AI434" s="461">
        <f>AG434*RevenueStreams!$D$32</f>
        <v>0</v>
      </c>
      <c r="AJ434" s="457">
        <v>0</v>
      </c>
      <c r="AK434" s="460" t="str">
        <f>RevenueStreams!$E$32</f>
        <v>Per Hr</v>
      </c>
      <c r="AL434" s="461">
        <f>AJ434*RevenueStreams!$D$32</f>
        <v>0</v>
      </c>
    </row>
    <row r="435" spans="1:41" x14ac:dyDescent="0.35">
      <c r="A435" s="471">
        <f t="shared" si="25"/>
        <v>2974.9759999999992</v>
      </c>
      <c r="B435" s="459" t="s">
        <v>508</v>
      </c>
      <c r="C435" s="457">
        <f>8*1*2</f>
        <v>16</v>
      </c>
      <c r="D435" s="460" t="str">
        <f>RevenueStreams!$E$33</f>
        <v>Per Hr</v>
      </c>
      <c r="E435" s="461">
        <f>C435*RevenueStreams!$D$33</f>
        <v>247.91466666666668</v>
      </c>
      <c r="F435" s="457">
        <f>8*1*2</f>
        <v>16</v>
      </c>
      <c r="G435" s="460" t="str">
        <f>RevenueStreams!$E$33</f>
        <v>Per Hr</v>
      </c>
      <c r="H435" s="461">
        <f>F435*RevenueStreams!$D$33</f>
        <v>247.91466666666668</v>
      </c>
      <c r="I435" s="457">
        <f>8*1*2</f>
        <v>16</v>
      </c>
      <c r="J435" s="460" t="str">
        <f>RevenueStreams!$E$33</f>
        <v>Per Hr</v>
      </c>
      <c r="K435" s="461">
        <f>I435*RevenueStreams!$D$33</f>
        <v>247.91466666666668</v>
      </c>
      <c r="L435" s="457">
        <f>8*1*2</f>
        <v>16</v>
      </c>
      <c r="M435" s="460" t="str">
        <f>RevenueStreams!$E$33</f>
        <v>Per Hr</v>
      </c>
      <c r="N435" s="461">
        <f>L435*RevenueStreams!$D$33</f>
        <v>247.91466666666668</v>
      </c>
      <c r="O435" s="457">
        <f>8*1*2</f>
        <v>16</v>
      </c>
      <c r="P435" s="460" t="str">
        <f>RevenueStreams!$E$33</f>
        <v>Per Hr</v>
      </c>
      <c r="Q435" s="461">
        <f>O435*RevenueStreams!$D$33</f>
        <v>247.91466666666668</v>
      </c>
      <c r="R435" s="457">
        <f>8*1*2</f>
        <v>16</v>
      </c>
      <c r="S435" s="460" t="str">
        <f>RevenueStreams!$E$33</f>
        <v>Per Hr</v>
      </c>
      <c r="T435" s="461">
        <f>R435*RevenueStreams!$D$33</f>
        <v>247.91466666666668</v>
      </c>
      <c r="U435" s="457">
        <f>8*1*2</f>
        <v>16</v>
      </c>
      <c r="V435" s="460" t="str">
        <f>RevenueStreams!$E$33</f>
        <v>Per Hr</v>
      </c>
      <c r="W435" s="461">
        <f>U435*RevenueStreams!$D$33</f>
        <v>247.91466666666668</v>
      </c>
      <c r="X435" s="457">
        <f>8*1*2</f>
        <v>16</v>
      </c>
      <c r="Y435" s="460" t="str">
        <f>RevenueStreams!$E$33</f>
        <v>Per Hr</v>
      </c>
      <c r="Z435" s="461">
        <f>X435*RevenueStreams!$D$33</f>
        <v>247.91466666666668</v>
      </c>
      <c r="AA435" s="457">
        <f>8*1*2</f>
        <v>16</v>
      </c>
      <c r="AB435" s="460" t="str">
        <f>RevenueStreams!$E$33</f>
        <v>Per Hr</v>
      </c>
      <c r="AC435" s="461">
        <f>AA435*RevenueStreams!$D$33</f>
        <v>247.91466666666668</v>
      </c>
      <c r="AD435" s="457">
        <f>8*1*2</f>
        <v>16</v>
      </c>
      <c r="AE435" s="460" t="str">
        <f>RevenueStreams!$E$33</f>
        <v>Per Hr</v>
      </c>
      <c r="AF435" s="461">
        <f>AD435*RevenueStreams!$D$33</f>
        <v>247.91466666666668</v>
      </c>
      <c r="AG435" s="457">
        <f>8*1*2</f>
        <v>16</v>
      </c>
      <c r="AH435" s="460" t="str">
        <f>RevenueStreams!$E$33</f>
        <v>Per Hr</v>
      </c>
      <c r="AI435" s="461">
        <f>AG435*RevenueStreams!$D$33</f>
        <v>247.91466666666668</v>
      </c>
      <c r="AJ435" s="457">
        <f>8*1*2</f>
        <v>16</v>
      </c>
      <c r="AK435" s="460" t="str">
        <f>RevenueStreams!$E$33</f>
        <v>Per Hr</v>
      </c>
      <c r="AL435" s="461">
        <f>AJ435*RevenueStreams!$D$33</f>
        <v>247.91466666666668</v>
      </c>
    </row>
    <row r="436" spans="1:41" x14ac:dyDescent="0.35">
      <c r="A436" s="471">
        <f>SUM(E436,H436,K436,N436,Q436,T436,W436,Z436,AC436,AF436,AI436,AL436)</f>
        <v>15200</v>
      </c>
      <c r="B436" s="459" t="s">
        <v>520</v>
      </c>
      <c r="C436" s="457">
        <f>1*8*4</f>
        <v>32</v>
      </c>
      <c r="D436" s="460" t="str">
        <f>RevenueStreams!$E$34</f>
        <v>Per Hr</v>
      </c>
      <c r="E436" s="461">
        <f>C436*RevenueStreams!$D$34</f>
        <v>1600</v>
      </c>
      <c r="F436" s="457">
        <f>1*8*3</f>
        <v>24</v>
      </c>
      <c r="G436" s="460" t="str">
        <f>RevenueStreams!$E$34</f>
        <v>Per Hr</v>
      </c>
      <c r="H436" s="461">
        <f>F436*RevenueStreams!$D$34</f>
        <v>1200</v>
      </c>
      <c r="I436" s="457">
        <f>1*8*3</f>
        <v>24</v>
      </c>
      <c r="J436" s="460" t="str">
        <f>RevenueStreams!$E$34</f>
        <v>Per Hr</v>
      </c>
      <c r="K436" s="461">
        <f>I436*RevenueStreams!$D$34</f>
        <v>1200</v>
      </c>
      <c r="L436" s="457">
        <f>1*8*3</f>
        <v>24</v>
      </c>
      <c r="M436" s="460" t="str">
        <f>RevenueStreams!$E$34</f>
        <v>Per Hr</v>
      </c>
      <c r="N436" s="461">
        <f>L436*RevenueStreams!$D$34</f>
        <v>1200</v>
      </c>
      <c r="O436" s="457">
        <f>1*8*3</f>
        <v>24</v>
      </c>
      <c r="P436" s="460" t="str">
        <f>RevenueStreams!$E$34</f>
        <v>Per Hr</v>
      </c>
      <c r="Q436" s="461">
        <f>O436*RevenueStreams!$D$34</f>
        <v>1200</v>
      </c>
      <c r="R436" s="457">
        <f>1*8*3</f>
        <v>24</v>
      </c>
      <c r="S436" s="460" t="str">
        <f>RevenueStreams!$E$34</f>
        <v>Per Hr</v>
      </c>
      <c r="T436" s="461">
        <f>R436*RevenueStreams!$D$34</f>
        <v>1200</v>
      </c>
      <c r="U436" s="457">
        <f>1*8*3</f>
        <v>24</v>
      </c>
      <c r="V436" s="460" t="str">
        <f>RevenueStreams!$E$34</f>
        <v>Per Hr</v>
      </c>
      <c r="W436" s="461">
        <f>U436*RevenueStreams!$D$34</f>
        <v>1200</v>
      </c>
      <c r="X436" s="457">
        <f>1*8*3</f>
        <v>24</v>
      </c>
      <c r="Y436" s="460" t="str">
        <f>RevenueStreams!$E$34</f>
        <v>Per Hr</v>
      </c>
      <c r="Z436" s="461">
        <f>X436*RevenueStreams!$D$34</f>
        <v>1200</v>
      </c>
      <c r="AA436" s="457">
        <f>1*8*3</f>
        <v>24</v>
      </c>
      <c r="AB436" s="460" t="str">
        <f>RevenueStreams!$E$34</f>
        <v>Per Hr</v>
      </c>
      <c r="AC436" s="461">
        <f>AA436*RevenueStreams!$D$34</f>
        <v>1200</v>
      </c>
      <c r="AD436" s="457">
        <f>1*8*4</f>
        <v>32</v>
      </c>
      <c r="AE436" s="460" t="str">
        <f>RevenueStreams!$E$34</f>
        <v>Per Hr</v>
      </c>
      <c r="AF436" s="461">
        <f>AD436*RevenueStreams!$D$34</f>
        <v>1600</v>
      </c>
      <c r="AG436" s="457">
        <f>1*8*3</f>
        <v>24</v>
      </c>
      <c r="AH436" s="460" t="str">
        <f>RevenueStreams!$E$34</f>
        <v>Per Hr</v>
      </c>
      <c r="AI436" s="461">
        <f>AG436*RevenueStreams!$D$34</f>
        <v>1200</v>
      </c>
      <c r="AJ436" s="457">
        <f>1*8*3</f>
        <v>24</v>
      </c>
      <c r="AK436" s="460" t="str">
        <f>RevenueStreams!$E$34</f>
        <v>Per Hr</v>
      </c>
      <c r="AL436" s="461">
        <f>AJ436*RevenueStreams!$D$34</f>
        <v>1200</v>
      </c>
    </row>
    <row r="437" spans="1:41" x14ac:dyDescent="0.35">
      <c r="A437" s="472"/>
      <c r="B437" s="459" t="s">
        <v>499</v>
      </c>
      <c r="C437" s="457">
        <v>0</v>
      </c>
      <c r="D437" s="460" t="str">
        <f>RevenueStreams!$E$36</f>
        <v>% of Charged</v>
      </c>
      <c r="E437" s="461">
        <f>C437*RevenueStreams!$D$36</f>
        <v>0</v>
      </c>
      <c r="F437" s="457">
        <v>0</v>
      </c>
      <c r="G437" s="460" t="str">
        <f>RevenueStreams!$E$36</f>
        <v>% of Charged</v>
      </c>
      <c r="H437" s="461">
        <f>F437*RevenueStreams!$D$36</f>
        <v>0</v>
      </c>
      <c r="I437" s="457">
        <v>0</v>
      </c>
      <c r="J437" s="460" t="str">
        <f>RevenueStreams!$E$36</f>
        <v>% of Charged</v>
      </c>
      <c r="K437" s="461">
        <f>I437*RevenueStreams!$D$36</f>
        <v>0</v>
      </c>
      <c r="L437" s="457">
        <v>0</v>
      </c>
      <c r="M437" s="460" t="str">
        <f>RevenueStreams!$E$36</f>
        <v>% of Charged</v>
      </c>
      <c r="N437" s="461">
        <f>L437*RevenueStreams!$D$36</f>
        <v>0</v>
      </c>
      <c r="O437" s="457">
        <v>0</v>
      </c>
      <c r="P437" s="460" t="str">
        <f>RevenueStreams!$E$36</f>
        <v>% of Charged</v>
      </c>
      <c r="Q437" s="461">
        <f>O437*RevenueStreams!$D$36</f>
        <v>0</v>
      </c>
      <c r="R437" s="457">
        <v>0</v>
      </c>
      <c r="S437" s="460" t="str">
        <f>RevenueStreams!$E$36</f>
        <v>% of Charged</v>
      </c>
      <c r="T437" s="461">
        <f>R437*RevenueStreams!$D$36</f>
        <v>0</v>
      </c>
      <c r="U437" s="457">
        <v>0</v>
      </c>
      <c r="V437" s="460" t="str">
        <f>RevenueStreams!$E$36</f>
        <v>% of Charged</v>
      </c>
      <c r="W437" s="461">
        <f>U437*RevenueStreams!$D$36</f>
        <v>0</v>
      </c>
      <c r="X437" s="457">
        <v>0</v>
      </c>
      <c r="Y437" s="460" t="str">
        <f>RevenueStreams!$E$36</f>
        <v>% of Charged</v>
      </c>
      <c r="Z437" s="461">
        <f>X437*RevenueStreams!$D$36</f>
        <v>0</v>
      </c>
      <c r="AA437" s="457">
        <v>0</v>
      </c>
      <c r="AB437" s="460" t="str">
        <f>RevenueStreams!$E$36</f>
        <v>% of Charged</v>
      </c>
      <c r="AC437" s="461">
        <f>AA437*RevenueStreams!$D$36</f>
        <v>0</v>
      </c>
      <c r="AD437" s="457">
        <v>0</v>
      </c>
      <c r="AE437" s="460" t="str">
        <f>RevenueStreams!$E$36</f>
        <v>% of Charged</v>
      </c>
      <c r="AF437" s="461">
        <f>AD437*RevenueStreams!$D$36</f>
        <v>0</v>
      </c>
      <c r="AG437" s="457">
        <v>0</v>
      </c>
      <c r="AH437" s="460" t="str">
        <f>RevenueStreams!$E$36</f>
        <v>% of Charged</v>
      </c>
      <c r="AI437" s="461">
        <f>AG437*RevenueStreams!$D$36</f>
        <v>0</v>
      </c>
      <c r="AJ437" s="457">
        <v>0</v>
      </c>
      <c r="AK437" s="460" t="str">
        <f>RevenueStreams!$E$36</f>
        <v>% of Charged</v>
      </c>
      <c r="AL437" s="461">
        <f>AJ437*RevenueStreams!$D$36</f>
        <v>0</v>
      </c>
    </row>
    <row r="438" spans="1:41" x14ac:dyDescent="0.35">
      <c r="A438" s="469">
        <f>SUM(E438,H438,K438,N438,Q438,T438,W438,Z438,AC438,AF438,AI438,AL438)</f>
        <v>124500.59271999999</v>
      </c>
      <c r="B438" s="509" t="s">
        <v>724</v>
      </c>
      <c r="C438" s="519">
        <f>SUM(C415:C437)</f>
        <v>323</v>
      </c>
      <c r="D438" s="511"/>
      <c r="E438" s="510">
        <f>SUM(E415:E437)</f>
        <v>8103.9146666666666</v>
      </c>
      <c r="F438" s="519">
        <f>SUM(F415:F437)</f>
        <v>314</v>
      </c>
      <c r="G438" s="511"/>
      <c r="H438" s="510">
        <f>SUM(H415:H437)</f>
        <v>7415.9146666666666</v>
      </c>
      <c r="I438" s="519">
        <f>SUM(I415:I437)</f>
        <v>315</v>
      </c>
      <c r="J438" s="511"/>
      <c r="K438" s="510">
        <f>SUM(K415:K437)</f>
        <v>7703.9146666666666</v>
      </c>
      <c r="L438" s="519">
        <f>SUM(L415:L437)</f>
        <v>443</v>
      </c>
      <c r="M438" s="511"/>
      <c r="N438" s="510">
        <f>SUM(N415:N437)</f>
        <v>14184.248239999999</v>
      </c>
      <c r="O438" s="519">
        <f>SUM(O415:O437)</f>
        <v>474</v>
      </c>
      <c r="P438" s="511"/>
      <c r="Q438" s="510">
        <f>SUM(Q415:Q437)</f>
        <v>16418.556239999998</v>
      </c>
      <c r="R438" s="519">
        <f>SUM(R415:R437)</f>
        <v>475</v>
      </c>
      <c r="S438" s="511"/>
      <c r="T438" s="510">
        <f>SUM(T415:T437)</f>
        <v>16706.556239999998</v>
      </c>
      <c r="U438" s="519">
        <f>SUM(U415:U437)</f>
        <v>411</v>
      </c>
      <c r="V438" s="511"/>
      <c r="W438" s="510">
        <f>SUM(W415:W437)</f>
        <v>10151.914666666667</v>
      </c>
      <c r="X438" s="519">
        <f>SUM(X415:X437)</f>
        <v>411</v>
      </c>
      <c r="Y438" s="511"/>
      <c r="Z438" s="510">
        <f>SUM(Z415:Z437)</f>
        <v>10151.914666666667</v>
      </c>
      <c r="AA438" s="519">
        <f>SUM(AA415:AA437)</f>
        <v>411</v>
      </c>
      <c r="AB438" s="511"/>
      <c r="AC438" s="510">
        <f>SUM(AC415:AC437)</f>
        <v>10151.914666666667</v>
      </c>
      <c r="AD438" s="519">
        <f>SUM(AD415:AD437)</f>
        <v>323</v>
      </c>
      <c r="AE438" s="511"/>
      <c r="AF438" s="510">
        <f>SUM(AF415:AF437)</f>
        <v>8103.9146666666666</v>
      </c>
      <c r="AG438" s="519">
        <f>SUM(AG415:AG437)</f>
        <v>315</v>
      </c>
      <c r="AH438" s="511"/>
      <c r="AI438" s="510">
        <f>SUM(AI415:AI437)</f>
        <v>7703.9146666666666</v>
      </c>
      <c r="AJ438" s="519">
        <f>SUM(AJ415:AJ437)</f>
        <v>315</v>
      </c>
      <c r="AK438" s="511"/>
      <c r="AL438" s="510">
        <f>SUM(AL415:AL437)</f>
        <v>7703.9146666666666</v>
      </c>
    </row>
    <row r="440" spans="1:41" x14ac:dyDescent="0.35">
      <c r="A440" s="507" t="s">
        <v>653</v>
      </c>
      <c r="B440" s="508" t="s">
        <v>725</v>
      </c>
      <c r="C440" s="501" t="s">
        <v>33</v>
      </c>
      <c r="D440" s="502"/>
      <c r="E440" s="503" t="s">
        <v>320</v>
      </c>
      <c r="F440" s="501" t="s">
        <v>33</v>
      </c>
      <c r="G440" s="502"/>
      <c r="H440" s="503" t="s">
        <v>320</v>
      </c>
      <c r="I440" s="501" t="s">
        <v>33</v>
      </c>
      <c r="J440" s="502"/>
      <c r="K440" s="503" t="s">
        <v>320</v>
      </c>
      <c r="L440" s="501" t="s">
        <v>33</v>
      </c>
      <c r="M440" s="502"/>
      <c r="N440" s="503" t="s">
        <v>320</v>
      </c>
      <c r="O440" s="501" t="s">
        <v>33</v>
      </c>
      <c r="P440" s="502"/>
      <c r="Q440" s="503" t="s">
        <v>320</v>
      </c>
      <c r="R440" s="501" t="s">
        <v>33</v>
      </c>
      <c r="S440" s="502"/>
      <c r="T440" s="503" t="s">
        <v>320</v>
      </c>
      <c r="U440" s="501" t="s">
        <v>33</v>
      </c>
      <c r="V440" s="502"/>
      <c r="W440" s="503" t="s">
        <v>320</v>
      </c>
      <c r="X440" s="501" t="s">
        <v>33</v>
      </c>
      <c r="Y440" s="502"/>
      <c r="Z440" s="503" t="s">
        <v>320</v>
      </c>
      <c r="AA440" s="501" t="s">
        <v>33</v>
      </c>
      <c r="AB440" s="502"/>
      <c r="AC440" s="503" t="s">
        <v>320</v>
      </c>
      <c r="AD440" s="501" t="s">
        <v>33</v>
      </c>
      <c r="AE440" s="502"/>
      <c r="AF440" s="503" t="s">
        <v>320</v>
      </c>
      <c r="AG440" s="501" t="s">
        <v>33</v>
      </c>
      <c r="AH440" s="502"/>
      <c r="AI440" s="503" t="s">
        <v>320</v>
      </c>
      <c r="AJ440" s="501" t="s">
        <v>33</v>
      </c>
      <c r="AK440" s="502"/>
      <c r="AL440" s="503" t="s">
        <v>320</v>
      </c>
    </row>
    <row r="441" spans="1:41" x14ac:dyDescent="0.35">
      <c r="A441" s="471">
        <f>SUM(E441,H441,K441,N441,Q441,T441,W441,Z441,AC441,AF441,AI441,AL441)</f>
        <v>49308.480000000003</v>
      </c>
      <c r="B441" s="506">
        <f>Payroll!B410</f>
        <v>0</v>
      </c>
      <c r="C441" s="517">
        <v>120</v>
      </c>
      <c r="D441" s="504"/>
      <c r="E441" s="461">
        <f>C441*Payroll!$O$19/(50*5*8/12)</f>
        <v>4109.04</v>
      </c>
      <c r="F441" s="517">
        <v>120</v>
      </c>
      <c r="G441" s="504"/>
      <c r="H441" s="461">
        <f>F441*Payroll!$O$19/(50*5*8/12)</f>
        <v>4109.04</v>
      </c>
      <c r="I441" s="517">
        <v>120</v>
      </c>
      <c r="J441" s="504"/>
      <c r="K441" s="461">
        <f>I441*Payroll!$O$19/(50*5*8/12)</f>
        <v>4109.04</v>
      </c>
      <c r="L441" s="517">
        <v>120</v>
      </c>
      <c r="M441" s="504"/>
      <c r="N441" s="461">
        <f>L441*Payroll!$O$19/(50*5*8/12)</f>
        <v>4109.04</v>
      </c>
      <c r="O441" s="517">
        <v>120</v>
      </c>
      <c r="P441" s="504"/>
      <c r="Q441" s="461">
        <f>O441*Payroll!$O$19/(50*5*8/12)</f>
        <v>4109.04</v>
      </c>
      <c r="R441" s="517">
        <v>120</v>
      </c>
      <c r="S441" s="504"/>
      <c r="T441" s="461">
        <f>R441*Payroll!$O$19/(50*5*8/12)</f>
        <v>4109.04</v>
      </c>
      <c r="U441" s="517">
        <v>120</v>
      </c>
      <c r="V441" s="504"/>
      <c r="W441" s="461">
        <f>U441*Payroll!$O$19/(50*5*8/12)</f>
        <v>4109.04</v>
      </c>
      <c r="X441" s="517">
        <v>120</v>
      </c>
      <c r="Y441" s="504"/>
      <c r="Z441" s="461">
        <f>X441*Payroll!$O$19/(50*5*8/12)</f>
        <v>4109.04</v>
      </c>
      <c r="AA441" s="517">
        <v>120</v>
      </c>
      <c r="AB441" s="504"/>
      <c r="AC441" s="461">
        <f>AA441*Payroll!$O$19/(50*5*8/12)</f>
        <v>4109.04</v>
      </c>
      <c r="AD441" s="517">
        <v>120</v>
      </c>
      <c r="AE441" s="504"/>
      <c r="AF441" s="461">
        <f>AD441*Payroll!$O$19/(50*5*8/12)</f>
        <v>4109.04</v>
      </c>
      <c r="AG441" s="517">
        <v>120</v>
      </c>
      <c r="AH441" s="504"/>
      <c r="AI441" s="461">
        <f>AG441*Payroll!$O$19/(50*5*8/12)</f>
        <v>4109.04</v>
      </c>
      <c r="AJ441" s="517">
        <v>120</v>
      </c>
      <c r="AK441" s="504"/>
      <c r="AL441" s="461">
        <f>AJ441*Payroll!$O$19/(50*5*8/12)</f>
        <v>4109.04</v>
      </c>
      <c r="AN441" s="114" t="s">
        <v>744</v>
      </c>
      <c r="AO441" s="446">
        <f>SUM(A441:A447)</f>
        <v>98616.960000000006</v>
      </c>
    </row>
    <row r="442" spans="1:41" x14ac:dyDescent="0.35">
      <c r="A442" s="471">
        <f>SUM(E442,H442,K442,N442,Q442,T442,W442,Z442,AC442,AF442,AI442,AL442)</f>
        <v>0</v>
      </c>
      <c r="B442" s="506">
        <f>Payroll!B411</f>
        <v>0</v>
      </c>
      <c r="C442" s="517"/>
      <c r="D442" s="504"/>
      <c r="E442" s="461">
        <f>C442*Payroll!$O$19/(50*5*8/12)</f>
        <v>0</v>
      </c>
      <c r="F442" s="517"/>
      <c r="G442" s="504"/>
      <c r="H442" s="461">
        <f>F442*Payroll!$O$19/(50*5*8/12)</f>
        <v>0</v>
      </c>
      <c r="I442" s="517"/>
      <c r="J442" s="504"/>
      <c r="K442" s="461">
        <f>I442*Payroll!$O$19/(50*5*8/12)</f>
        <v>0</v>
      </c>
      <c r="L442" s="517"/>
      <c r="M442" s="504"/>
      <c r="N442" s="461">
        <f>L442*Payroll!$O$19/(50*5*8/12)</f>
        <v>0</v>
      </c>
      <c r="O442" s="517"/>
      <c r="P442" s="504"/>
      <c r="Q442" s="461">
        <f>O442*Payroll!$O$19/(50*5*8/12)</f>
        <v>0</v>
      </c>
      <c r="R442" s="517"/>
      <c r="S442" s="504"/>
      <c r="T442" s="461">
        <f>R442*Payroll!$O$19/(50*5*8/12)</f>
        <v>0</v>
      </c>
      <c r="U442" s="517"/>
      <c r="V442" s="504"/>
      <c r="W442" s="461">
        <f>U442*Payroll!$O$19/(50*5*8/12)</f>
        <v>0</v>
      </c>
      <c r="X442" s="517"/>
      <c r="Y442" s="504"/>
      <c r="Z442" s="461">
        <f>X442*Payroll!$O$19/(50*5*8/12)</f>
        <v>0</v>
      </c>
      <c r="AA442" s="517"/>
      <c r="AB442" s="504"/>
      <c r="AC442" s="461">
        <f>AA442*Payroll!$O$19/(50*5*8/12)</f>
        <v>0</v>
      </c>
      <c r="AD442" s="517"/>
      <c r="AE442" s="504"/>
      <c r="AF442" s="461">
        <f>AD442*Payroll!$O$19/(50*5*8/12)</f>
        <v>0</v>
      </c>
      <c r="AG442" s="517"/>
      <c r="AH442" s="504"/>
      <c r="AI442" s="461">
        <f>AG442*Payroll!$O$19/(50*5*8/12)</f>
        <v>0</v>
      </c>
      <c r="AJ442" s="517"/>
      <c r="AK442" s="504"/>
      <c r="AL442" s="461">
        <f>AJ442*Payroll!$O$19/(50*5*8/12)</f>
        <v>0</v>
      </c>
      <c r="AN442" s="114" t="s">
        <v>745</v>
      </c>
      <c r="AO442" s="446">
        <f>SUM(A452,A453,A454,A459,A461,A462,A463,A465)</f>
        <v>35400</v>
      </c>
    </row>
    <row r="443" spans="1:41" x14ac:dyDescent="0.35">
      <c r="A443" s="471">
        <f>SUM(E443,H443,K443,N443,Q443,T443,W443,Z443,AC443,AF443,AI443,AL443)</f>
        <v>49308.480000000003</v>
      </c>
      <c r="B443" s="506">
        <f>Payroll!B412</f>
        <v>0</v>
      </c>
      <c r="C443" s="517">
        <v>120</v>
      </c>
      <c r="D443" s="504"/>
      <c r="E443" s="461">
        <f>C443*Payroll!$O$19/(50*5*8/12)</f>
        <v>4109.04</v>
      </c>
      <c r="F443" s="517">
        <v>120</v>
      </c>
      <c r="G443" s="504"/>
      <c r="H443" s="461">
        <f>F443*Payroll!$O$19/(50*5*8/12)</f>
        <v>4109.04</v>
      </c>
      <c r="I443" s="517">
        <v>120</v>
      </c>
      <c r="J443" s="504"/>
      <c r="K443" s="461">
        <f>I443*Payroll!$O$19/(50*5*8/12)</f>
        <v>4109.04</v>
      </c>
      <c r="L443" s="517">
        <v>120</v>
      </c>
      <c r="M443" s="504"/>
      <c r="N443" s="461">
        <f>L443*Payroll!$O$19/(50*5*8/12)</f>
        <v>4109.04</v>
      </c>
      <c r="O443" s="517">
        <v>120</v>
      </c>
      <c r="P443" s="504"/>
      <c r="Q443" s="461">
        <f>O443*Payroll!$O$19/(50*5*8/12)</f>
        <v>4109.04</v>
      </c>
      <c r="R443" s="517">
        <v>120</v>
      </c>
      <c r="S443" s="504"/>
      <c r="T443" s="461">
        <f>R443*Payroll!$O$19/(50*5*8/12)</f>
        <v>4109.04</v>
      </c>
      <c r="U443" s="517">
        <v>120</v>
      </c>
      <c r="V443" s="504"/>
      <c r="W443" s="461">
        <f>U443*Payroll!$O$19/(50*5*8/12)</f>
        <v>4109.04</v>
      </c>
      <c r="X443" s="517">
        <v>120</v>
      </c>
      <c r="Y443" s="504"/>
      <c r="Z443" s="461">
        <f>X443*Payroll!$O$19/(50*5*8/12)</f>
        <v>4109.04</v>
      </c>
      <c r="AA443" s="517">
        <v>120</v>
      </c>
      <c r="AB443" s="504"/>
      <c r="AC443" s="461">
        <f>AA443*Payroll!$O$19/(50*5*8/12)</f>
        <v>4109.04</v>
      </c>
      <c r="AD443" s="517">
        <v>120</v>
      </c>
      <c r="AE443" s="504"/>
      <c r="AF443" s="461">
        <f>AD443*Payroll!$O$19/(50*5*8/12)</f>
        <v>4109.04</v>
      </c>
      <c r="AG443" s="517">
        <v>120</v>
      </c>
      <c r="AH443" s="504"/>
      <c r="AI443" s="461">
        <f>AG443*Payroll!$O$19/(50*5*8/12)</f>
        <v>4109.04</v>
      </c>
      <c r="AJ443" s="517">
        <v>120</v>
      </c>
      <c r="AK443" s="504"/>
      <c r="AL443" s="461">
        <f>AJ443*Payroll!$O$19/(50*5*8/12)</f>
        <v>4109.04</v>
      </c>
      <c r="AN443" s="114" t="s">
        <v>746</v>
      </c>
      <c r="AO443" s="446">
        <f>SUM(A453,A455,A457,A458,A466)</f>
        <v>15050</v>
      </c>
    </row>
    <row r="444" spans="1:41" x14ac:dyDescent="0.35">
      <c r="A444" s="471">
        <f>SUM(E444,H444,K444,N444,Q444,T444,W444,Z444,AC444,AF444,AI444,AL444)</f>
        <v>0</v>
      </c>
      <c r="B444" s="506">
        <f>Payroll!B413</f>
        <v>0</v>
      </c>
      <c r="C444" s="517"/>
      <c r="D444" s="504"/>
      <c r="E444" s="461">
        <f>C444*Payroll!$O$19/(50*5*8/12)</f>
        <v>0</v>
      </c>
      <c r="F444" s="517"/>
      <c r="G444" s="504"/>
      <c r="H444" s="461">
        <f>F444*Payroll!$O$19/(50*5*8/12)</f>
        <v>0</v>
      </c>
      <c r="I444" s="517"/>
      <c r="J444" s="504"/>
      <c r="K444" s="461">
        <f>I444*Payroll!$O$19/(50*5*8/12)</f>
        <v>0</v>
      </c>
      <c r="L444" s="517"/>
      <c r="M444" s="504"/>
      <c r="N444" s="461">
        <f>L444*Payroll!$O$19/(50*5*8/12)</f>
        <v>0</v>
      </c>
      <c r="O444" s="517"/>
      <c r="P444" s="504"/>
      <c r="Q444" s="461">
        <f>O444*Payroll!$O$19/(50*5*8/12)</f>
        <v>0</v>
      </c>
      <c r="R444" s="517"/>
      <c r="S444" s="504"/>
      <c r="T444" s="461">
        <f>R444*Payroll!$O$19/(50*5*8/12)</f>
        <v>0</v>
      </c>
      <c r="U444" s="517"/>
      <c r="V444" s="504"/>
      <c r="W444" s="461">
        <f>U444*Payroll!$O$19/(50*5*8/12)</f>
        <v>0</v>
      </c>
      <c r="X444" s="517"/>
      <c r="Y444" s="504"/>
      <c r="Z444" s="461">
        <f>X444*Payroll!$O$19/(50*5*8/12)</f>
        <v>0</v>
      </c>
      <c r="AA444" s="517"/>
      <c r="AB444" s="504"/>
      <c r="AC444" s="461">
        <f>AA444*Payroll!$O$19/(50*5*8/12)</f>
        <v>0</v>
      </c>
      <c r="AD444" s="517"/>
      <c r="AE444" s="504"/>
      <c r="AF444" s="461">
        <f>AD444*Payroll!$O$19/(50*5*8/12)</f>
        <v>0</v>
      </c>
      <c r="AG444" s="517"/>
      <c r="AH444" s="504"/>
      <c r="AI444" s="461">
        <f>AG444*Payroll!$O$19/(50*5*8/12)</f>
        <v>0</v>
      </c>
      <c r="AJ444" s="517"/>
      <c r="AK444" s="504"/>
      <c r="AL444" s="461">
        <f>AJ444*Payroll!$O$19/(50*5*8/12)</f>
        <v>0</v>
      </c>
      <c r="AN444" s="114" t="s">
        <v>747</v>
      </c>
      <c r="AO444" s="446">
        <f>SUM(A456,A451,A464)</f>
        <v>8400</v>
      </c>
    </row>
    <row r="445" spans="1:41" x14ac:dyDescent="0.35">
      <c r="A445" s="471">
        <f>SUM(E445,H445,K445,N445,Q445,T445,W445,Z445,AC445,AF445,AI445,AL445)</f>
        <v>0</v>
      </c>
      <c r="B445" s="506">
        <f>Payroll!B414</f>
        <v>0</v>
      </c>
      <c r="C445" s="517"/>
      <c r="D445" s="504"/>
      <c r="E445" s="461">
        <f>C445*Payroll!$O$19/(50*5*8/12)</f>
        <v>0</v>
      </c>
      <c r="F445" s="517"/>
      <c r="G445" s="504"/>
      <c r="H445" s="461">
        <f>F445*Payroll!$O$19/(50*5*8/12)</f>
        <v>0</v>
      </c>
      <c r="I445" s="517"/>
      <c r="J445" s="504"/>
      <c r="K445" s="461">
        <f>I445*Payroll!$O$19/(50*5*8/12)</f>
        <v>0</v>
      </c>
      <c r="L445" s="517"/>
      <c r="M445" s="504"/>
      <c r="N445" s="461">
        <f>L445*Payroll!$O$19/(50*5*8/12)</f>
        <v>0</v>
      </c>
      <c r="O445" s="517"/>
      <c r="P445" s="504"/>
      <c r="Q445" s="461">
        <f>O445*Payroll!$O$19/(50*5*8/12)</f>
        <v>0</v>
      </c>
      <c r="R445" s="517"/>
      <c r="S445" s="504"/>
      <c r="T445" s="461">
        <f>R445*Payroll!$O$19/(50*5*8/12)</f>
        <v>0</v>
      </c>
      <c r="U445" s="517"/>
      <c r="V445" s="504"/>
      <c r="W445" s="461">
        <f>U445*Payroll!$O$19/(50*5*8/12)</f>
        <v>0</v>
      </c>
      <c r="X445" s="517"/>
      <c r="Y445" s="504"/>
      <c r="Z445" s="461">
        <f>X445*Payroll!$O$19/(50*5*8/12)</f>
        <v>0</v>
      </c>
      <c r="AA445" s="517"/>
      <c r="AB445" s="504"/>
      <c r="AC445" s="461">
        <f>AA445*Payroll!$O$19/(50*5*8/12)</f>
        <v>0</v>
      </c>
      <c r="AD445" s="517"/>
      <c r="AE445" s="504"/>
      <c r="AF445" s="461">
        <f>AD445*Payroll!$O$19/(50*5*8/12)</f>
        <v>0</v>
      </c>
      <c r="AG445" s="517"/>
      <c r="AH445" s="504"/>
      <c r="AI445" s="461">
        <f>AG445*Payroll!$O$19/(50*5*8/12)</f>
        <v>0</v>
      </c>
      <c r="AJ445" s="517"/>
      <c r="AK445" s="504"/>
      <c r="AL445" s="461">
        <f>AJ445*Payroll!$O$19/(50*5*8/12)</f>
        <v>0</v>
      </c>
    </row>
    <row r="446" spans="1:41" x14ac:dyDescent="0.35">
      <c r="A446" s="471">
        <f t="shared" ref="A446:A447" si="26">SUM(E446,H446,K446,N446,Q446,T446,W446,Z446,AC446,AF446,AI446,AL446)</f>
        <v>0</v>
      </c>
      <c r="B446" s="506">
        <f>Payroll!B415</f>
        <v>0</v>
      </c>
      <c r="C446" s="517"/>
      <c r="D446" s="504"/>
      <c r="E446" s="461">
        <f>C446*Payroll!$O$19/(50*5*8/12)</f>
        <v>0</v>
      </c>
      <c r="F446" s="517"/>
      <c r="G446" s="504"/>
      <c r="H446" s="461">
        <f>F446*Payroll!$O$19/(50*5*8/12)</f>
        <v>0</v>
      </c>
      <c r="I446" s="517"/>
      <c r="J446" s="504"/>
      <c r="K446" s="461">
        <f>I446*Payroll!$O$19/(50*5*8/12)</f>
        <v>0</v>
      </c>
      <c r="L446" s="517"/>
      <c r="M446" s="504"/>
      <c r="N446" s="461">
        <f>L446*Payroll!$O$19/(50*5*8/12)</f>
        <v>0</v>
      </c>
      <c r="O446" s="517"/>
      <c r="P446" s="504"/>
      <c r="Q446" s="461">
        <f>O446*Payroll!$O$19/(50*5*8/12)</f>
        <v>0</v>
      </c>
      <c r="R446" s="517"/>
      <c r="S446" s="504"/>
      <c r="T446" s="461">
        <f>R446*Payroll!$O$19/(50*5*8/12)</f>
        <v>0</v>
      </c>
      <c r="U446" s="517"/>
      <c r="V446" s="504"/>
      <c r="W446" s="461">
        <f>U446*Payroll!$O$19/(50*5*8/12)</f>
        <v>0</v>
      </c>
      <c r="X446" s="517"/>
      <c r="Y446" s="504"/>
      <c r="Z446" s="461">
        <f>X446*Payroll!$O$19/(50*5*8/12)</f>
        <v>0</v>
      </c>
      <c r="AA446" s="517"/>
      <c r="AB446" s="504"/>
      <c r="AC446" s="461">
        <f>AA446*Payroll!$O$19/(50*5*8/12)</f>
        <v>0</v>
      </c>
      <c r="AD446" s="517"/>
      <c r="AE446" s="504"/>
      <c r="AF446" s="461">
        <f>AD446*Payroll!$O$19/(50*5*8/12)</f>
        <v>0</v>
      </c>
      <c r="AG446" s="517"/>
      <c r="AH446" s="504"/>
      <c r="AI446" s="461">
        <f>AG446*Payroll!$O$19/(50*5*8/12)</f>
        <v>0</v>
      </c>
      <c r="AJ446" s="517"/>
      <c r="AK446" s="504"/>
      <c r="AL446" s="461">
        <f>AJ446*Payroll!$O$19/(50*5*8/12)</f>
        <v>0</v>
      </c>
    </row>
    <row r="447" spans="1:41" x14ac:dyDescent="0.35">
      <c r="A447" s="471">
        <f t="shared" si="26"/>
        <v>0</v>
      </c>
      <c r="B447" s="506">
        <f>Payroll!B416</f>
        <v>0</v>
      </c>
      <c r="C447" s="517"/>
      <c r="D447" s="504"/>
      <c r="E447" s="461">
        <f>C447*Payroll!$O$19/(50*5*8/12)</f>
        <v>0</v>
      </c>
      <c r="F447" s="517"/>
      <c r="G447" s="504"/>
      <c r="H447" s="461">
        <f>F447*Payroll!$O$19/(50*5*8/12)</f>
        <v>0</v>
      </c>
      <c r="I447" s="517"/>
      <c r="J447" s="504"/>
      <c r="K447" s="461">
        <f>I447*Payroll!$O$19/(50*5*8/12)</f>
        <v>0</v>
      </c>
      <c r="L447" s="517"/>
      <c r="M447" s="504"/>
      <c r="N447" s="461">
        <f>L447*Payroll!$O$19/(50*5*8/12)</f>
        <v>0</v>
      </c>
      <c r="O447" s="517"/>
      <c r="P447" s="504"/>
      <c r="Q447" s="461">
        <f>O447*Payroll!$O$19/(50*5*8/12)</f>
        <v>0</v>
      </c>
      <c r="R447" s="517"/>
      <c r="S447" s="504"/>
      <c r="T447" s="461">
        <f>R447*Payroll!$O$19/(50*5*8/12)</f>
        <v>0</v>
      </c>
      <c r="U447" s="517"/>
      <c r="V447" s="504"/>
      <c r="W447" s="461">
        <f>U447*Payroll!$O$19/(50*5*8/12)</f>
        <v>0</v>
      </c>
      <c r="X447" s="517"/>
      <c r="Y447" s="504"/>
      <c r="Z447" s="461">
        <f>X447*Payroll!$O$19/(50*5*8/12)</f>
        <v>0</v>
      </c>
      <c r="AA447" s="517"/>
      <c r="AB447" s="504"/>
      <c r="AC447" s="461">
        <f>AA447*Payroll!$O$19/(50*5*8/12)</f>
        <v>0</v>
      </c>
      <c r="AD447" s="517"/>
      <c r="AE447" s="504"/>
      <c r="AF447" s="461">
        <f>AD447*Payroll!$O$19/(50*5*8/12)</f>
        <v>0</v>
      </c>
      <c r="AG447" s="517"/>
      <c r="AH447" s="504"/>
      <c r="AI447" s="461">
        <f>AG447*Payroll!$O$19/(50*5*8/12)</f>
        <v>0</v>
      </c>
      <c r="AJ447" s="517"/>
      <c r="AK447" s="504"/>
      <c r="AL447" s="461">
        <f>AJ447*Payroll!$O$19/(50*5*8/12)</f>
        <v>0</v>
      </c>
    </row>
    <row r="448" spans="1:41" x14ac:dyDescent="0.35">
      <c r="A448" s="469">
        <f>SUM(E448,H448,K448,N448,Q448,T448,W448,Z448,AC448,AF448,AI448,AL448)</f>
        <v>98616.960000000006</v>
      </c>
      <c r="B448" s="509" t="s">
        <v>726</v>
      </c>
      <c r="C448" s="516">
        <f>SUM(C441:C445)</f>
        <v>240</v>
      </c>
      <c r="D448" s="511"/>
      <c r="E448" s="510">
        <f>SUM(E441:E447)</f>
        <v>8218.08</v>
      </c>
      <c r="F448" s="516">
        <f>SUM(F441:F445)</f>
        <v>240</v>
      </c>
      <c r="G448" s="511"/>
      <c r="H448" s="510">
        <f>SUM(H441:H447)</f>
        <v>8218.08</v>
      </c>
      <c r="I448" s="516">
        <f>SUM(I441:I445)</f>
        <v>240</v>
      </c>
      <c r="J448" s="511"/>
      <c r="K448" s="510">
        <f>SUM(K441:K447)</f>
        <v>8218.08</v>
      </c>
      <c r="L448" s="516">
        <f>SUM(L441:L445)</f>
        <v>240</v>
      </c>
      <c r="M448" s="511"/>
      <c r="N448" s="510">
        <f>SUM(N441:N447)</f>
        <v>8218.08</v>
      </c>
      <c r="O448" s="516">
        <f>SUM(O441:O445)</f>
        <v>240</v>
      </c>
      <c r="P448" s="511"/>
      <c r="Q448" s="510">
        <f>SUM(Q441:Q447)</f>
        <v>8218.08</v>
      </c>
      <c r="R448" s="516">
        <f>SUM(R441:R445)</f>
        <v>240</v>
      </c>
      <c r="S448" s="511"/>
      <c r="T448" s="510">
        <f>SUM(T441:T447)</f>
        <v>8218.08</v>
      </c>
      <c r="U448" s="516">
        <f>SUM(U441:U445)</f>
        <v>240</v>
      </c>
      <c r="V448" s="511"/>
      <c r="W448" s="510">
        <f>SUM(W441:W447)</f>
        <v>8218.08</v>
      </c>
      <c r="X448" s="516">
        <f>SUM(X441:X445)</f>
        <v>240</v>
      </c>
      <c r="Y448" s="511"/>
      <c r="Z448" s="510">
        <f>SUM(Z441:Z447)</f>
        <v>8218.08</v>
      </c>
      <c r="AA448" s="516">
        <f>SUM(AA441:AA445)</f>
        <v>240</v>
      </c>
      <c r="AB448" s="511"/>
      <c r="AC448" s="510">
        <f>SUM(AC441:AC447)</f>
        <v>8218.08</v>
      </c>
      <c r="AD448" s="516">
        <f>SUM(AD441:AD445)</f>
        <v>240</v>
      </c>
      <c r="AE448" s="511"/>
      <c r="AF448" s="510">
        <f>SUM(AF441:AF447)</f>
        <v>8218.08</v>
      </c>
      <c r="AG448" s="516">
        <f>SUM(AG441:AG445)</f>
        <v>240</v>
      </c>
      <c r="AH448" s="511"/>
      <c r="AI448" s="510">
        <f>SUM(AI441:AI447)</f>
        <v>8218.08</v>
      </c>
      <c r="AJ448" s="516">
        <f>SUM(AJ441:AJ445)</f>
        <v>240</v>
      </c>
      <c r="AK448" s="511"/>
      <c r="AL448" s="510">
        <f>SUM(AL441:AL447)</f>
        <v>8218.08</v>
      </c>
    </row>
    <row r="450" spans="1:38" x14ac:dyDescent="0.35">
      <c r="A450" s="507" t="s">
        <v>653</v>
      </c>
      <c r="B450" s="508" t="s">
        <v>727</v>
      </c>
      <c r="C450" s="544" t="s">
        <v>654</v>
      </c>
      <c r="D450" s="545"/>
      <c r="E450" s="477" t="s">
        <v>320</v>
      </c>
      <c r="F450" s="544" t="s">
        <v>654</v>
      </c>
      <c r="G450" s="545"/>
      <c r="H450" s="477" t="s">
        <v>320</v>
      </c>
      <c r="I450" s="544" t="s">
        <v>654</v>
      </c>
      <c r="J450" s="545"/>
      <c r="K450" s="477" t="s">
        <v>320</v>
      </c>
      <c r="L450" s="544" t="s">
        <v>654</v>
      </c>
      <c r="M450" s="545"/>
      <c r="N450" s="477" t="s">
        <v>320</v>
      </c>
      <c r="O450" s="544" t="s">
        <v>654</v>
      </c>
      <c r="P450" s="545"/>
      <c r="Q450" s="477" t="s">
        <v>320</v>
      </c>
      <c r="R450" s="544" t="s">
        <v>654</v>
      </c>
      <c r="S450" s="545"/>
      <c r="T450" s="477" t="s">
        <v>320</v>
      </c>
      <c r="U450" s="544" t="s">
        <v>654</v>
      </c>
      <c r="V450" s="545"/>
      <c r="W450" s="477" t="s">
        <v>320</v>
      </c>
      <c r="X450" s="544" t="s">
        <v>654</v>
      </c>
      <c r="Y450" s="545"/>
      <c r="Z450" s="477" t="s">
        <v>320</v>
      </c>
      <c r="AA450" s="544" t="s">
        <v>654</v>
      </c>
      <c r="AB450" s="545"/>
      <c r="AC450" s="477" t="s">
        <v>320</v>
      </c>
      <c r="AD450" s="544" t="s">
        <v>654</v>
      </c>
      <c r="AE450" s="545"/>
      <c r="AF450" s="477" t="s">
        <v>320</v>
      </c>
      <c r="AG450" s="544" t="s">
        <v>654</v>
      </c>
      <c r="AH450" s="545"/>
      <c r="AI450" s="477" t="s">
        <v>320</v>
      </c>
      <c r="AJ450" s="544" t="s">
        <v>654</v>
      </c>
      <c r="AK450" s="545"/>
      <c r="AL450" s="477" t="s">
        <v>320</v>
      </c>
    </row>
    <row r="451" spans="1:38" x14ac:dyDescent="0.35">
      <c r="A451" s="471">
        <f>SUM(E451,H451,K451,N451,Q451,T451,W451,Z451,AC451,AF451,AI451,AL451)</f>
        <v>2400</v>
      </c>
      <c r="B451" s="506" t="s">
        <v>639</v>
      </c>
      <c r="C451" s="541"/>
      <c r="D451" s="542"/>
      <c r="E451" s="518">
        <v>200</v>
      </c>
      <c r="F451" s="541"/>
      <c r="G451" s="542"/>
      <c r="H451" s="518">
        <v>200</v>
      </c>
      <c r="I451" s="541"/>
      <c r="J451" s="542"/>
      <c r="K451" s="518">
        <v>200</v>
      </c>
      <c r="L451" s="541"/>
      <c r="M451" s="542"/>
      <c r="N451" s="518">
        <v>200</v>
      </c>
      <c r="O451" s="541"/>
      <c r="P451" s="542"/>
      <c r="Q451" s="518">
        <v>200</v>
      </c>
      <c r="R451" s="541"/>
      <c r="S451" s="542"/>
      <c r="T451" s="518">
        <v>200</v>
      </c>
      <c r="U451" s="541"/>
      <c r="V451" s="542"/>
      <c r="W451" s="518">
        <v>200</v>
      </c>
      <c r="X451" s="541"/>
      <c r="Y451" s="542"/>
      <c r="Z451" s="518">
        <v>200</v>
      </c>
      <c r="AA451" s="541"/>
      <c r="AB451" s="542"/>
      <c r="AC451" s="518">
        <v>200</v>
      </c>
      <c r="AD451" s="541"/>
      <c r="AE451" s="542"/>
      <c r="AF451" s="518">
        <v>200</v>
      </c>
      <c r="AG451" s="541"/>
      <c r="AH451" s="542"/>
      <c r="AI451" s="518">
        <v>200</v>
      </c>
      <c r="AJ451" s="541"/>
      <c r="AK451" s="542"/>
      <c r="AL451" s="518">
        <v>200</v>
      </c>
    </row>
    <row r="452" spans="1:38" x14ac:dyDescent="0.35">
      <c r="A452" s="471">
        <f t="shared" ref="A452:A456" si="27">SUM(E452,H452,K452,N452,Q452,T452,W452,Z452,AC452,AF452,AI452,AL452)</f>
        <v>0</v>
      </c>
      <c r="B452" s="506" t="s">
        <v>640</v>
      </c>
      <c r="C452" s="541"/>
      <c r="D452" s="542"/>
      <c r="E452" s="518"/>
      <c r="F452" s="541"/>
      <c r="G452" s="542"/>
      <c r="H452" s="518"/>
      <c r="I452" s="541"/>
      <c r="J452" s="542"/>
      <c r="K452" s="518"/>
      <c r="L452" s="541"/>
      <c r="M452" s="542"/>
      <c r="N452" s="518"/>
      <c r="O452" s="541"/>
      <c r="P452" s="542"/>
      <c r="Q452" s="518"/>
      <c r="R452" s="541"/>
      <c r="S452" s="542"/>
      <c r="T452" s="518"/>
      <c r="U452" s="541"/>
      <c r="V452" s="542"/>
      <c r="W452" s="518"/>
      <c r="X452" s="541"/>
      <c r="Y452" s="542"/>
      <c r="Z452" s="518"/>
      <c r="AA452" s="541"/>
      <c r="AB452" s="542"/>
      <c r="AC452" s="518"/>
      <c r="AD452" s="541"/>
      <c r="AE452" s="542"/>
      <c r="AF452" s="518"/>
      <c r="AG452" s="541"/>
      <c r="AH452" s="542"/>
      <c r="AI452" s="518"/>
      <c r="AJ452" s="541"/>
      <c r="AK452" s="542"/>
      <c r="AL452" s="518"/>
    </row>
    <row r="453" spans="1:38" x14ac:dyDescent="0.35">
      <c r="A453" s="471">
        <f t="shared" si="27"/>
        <v>0</v>
      </c>
      <c r="B453" s="506" t="s">
        <v>641</v>
      </c>
      <c r="C453" s="541"/>
      <c r="D453" s="542"/>
      <c r="E453" s="518"/>
      <c r="F453" s="541"/>
      <c r="G453" s="542"/>
      <c r="H453" s="518"/>
      <c r="I453" s="541"/>
      <c r="J453" s="542"/>
      <c r="K453" s="518"/>
      <c r="L453" s="541"/>
      <c r="M453" s="542"/>
      <c r="N453" s="518"/>
      <c r="O453" s="541"/>
      <c r="P453" s="542"/>
      <c r="Q453" s="518"/>
      <c r="R453" s="541"/>
      <c r="S453" s="542"/>
      <c r="T453" s="518"/>
      <c r="U453" s="541"/>
      <c r="V453" s="542"/>
      <c r="W453" s="518"/>
      <c r="X453" s="541"/>
      <c r="Y453" s="542"/>
      <c r="Z453" s="518"/>
      <c r="AA453" s="541"/>
      <c r="AB453" s="542"/>
      <c r="AC453" s="518"/>
      <c r="AD453" s="541"/>
      <c r="AE453" s="542"/>
      <c r="AF453" s="518"/>
      <c r="AG453" s="541"/>
      <c r="AH453" s="542"/>
      <c r="AI453" s="518"/>
      <c r="AJ453" s="541"/>
      <c r="AK453" s="542"/>
      <c r="AL453" s="518"/>
    </row>
    <row r="454" spans="1:38" x14ac:dyDescent="0.35">
      <c r="A454" s="471">
        <f t="shared" si="27"/>
        <v>7200</v>
      </c>
      <c r="B454" s="506" t="s">
        <v>642</v>
      </c>
      <c r="C454" s="541"/>
      <c r="D454" s="542"/>
      <c r="E454" s="518">
        <v>600</v>
      </c>
      <c r="F454" s="543"/>
      <c r="G454" s="542"/>
      <c r="H454" s="518">
        <f>E454</f>
        <v>600</v>
      </c>
      <c r="I454" s="543"/>
      <c r="J454" s="542"/>
      <c r="K454" s="518">
        <f>H454</f>
        <v>600</v>
      </c>
      <c r="L454" s="543"/>
      <c r="M454" s="542"/>
      <c r="N454" s="518">
        <f>K454</f>
        <v>600</v>
      </c>
      <c r="O454" s="543"/>
      <c r="P454" s="542"/>
      <c r="Q454" s="518">
        <f>N454</f>
        <v>600</v>
      </c>
      <c r="R454" s="543"/>
      <c r="S454" s="542"/>
      <c r="T454" s="518">
        <f>Q454</f>
        <v>600</v>
      </c>
      <c r="U454" s="543"/>
      <c r="V454" s="542"/>
      <c r="W454" s="518">
        <f>T454</f>
        <v>600</v>
      </c>
      <c r="X454" s="543"/>
      <c r="Y454" s="542"/>
      <c r="Z454" s="518">
        <f>W454</f>
        <v>600</v>
      </c>
      <c r="AA454" s="543"/>
      <c r="AB454" s="542"/>
      <c r="AC454" s="518">
        <f>Z454</f>
        <v>600</v>
      </c>
      <c r="AD454" s="543"/>
      <c r="AE454" s="542"/>
      <c r="AF454" s="518">
        <f>AC454</f>
        <v>600</v>
      </c>
      <c r="AG454" s="543"/>
      <c r="AH454" s="542"/>
      <c r="AI454" s="518">
        <f>AF454</f>
        <v>600</v>
      </c>
      <c r="AJ454" s="543"/>
      <c r="AK454" s="542"/>
      <c r="AL454" s="518">
        <f>AI454</f>
        <v>600</v>
      </c>
    </row>
    <row r="455" spans="1:38" x14ac:dyDescent="0.35">
      <c r="A455" s="471">
        <f t="shared" si="27"/>
        <v>6000</v>
      </c>
      <c r="B455" s="506" t="s">
        <v>643</v>
      </c>
      <c r="C455" s="541"/>
      <c r="D455" s="542"/>
      <c r="E455" s="518">
        <f>(3000+3000)/12</f>
        <v>500</v>
      </c>
      <c r="F455" s="543"/>
      <c r="G455" s="542"/>
      <c r="H455" s="518">
        <f>$E455</f>
        <v>500</v>
      </c>
      <c r="I455" s="543"/>
      <c r="J455" s="542"/>
      <c r="K455" s="518">
        <f>$E455</f>
        <v>500</v>
      </c>
      <c r="L455" s="543"/>
      <c r="M455" s="542"/>
      <c r="N455" s="518">
        <f>$E455</f>
        <v>500</v>
      </c>
      <c r="O455" s="543"/>
      <c r="P455" s="542"/>
      <c r="Q455" s="518">
        <f>$E455</f>
        <v>500</v>
      </c>
      <c r="R455" s="543"/>
      <c r="S455" s="542"/>
      <c r="T455" s="518">
        <f>$E455</f>
        <v>500</v>
      </c>
      <c r="U455" s="543"/>
      <c r="V455" s="542"/>
      <c r="W455" s="518">
        <f>$E455</f>
        <v>500</v>
      </c>
      <c r="X455" s="543"/>
      <c r="Y455" s="542"/>
      <c r="Z455" s="518">
        <f>$E455</f>
        <v>500</v>
      </c>
      <c r="AA455" s="543"/>
      <c r="AB455" s="542"/>
      <c r="AC455" s="518">
        <f>$E455</f>
        <v>500</v>
      </c>
      <c r="AD455" s="543"/>
      <c r="AE455" s="542"/>
      <c r="AF455" s="518">
        <f>$E455</f>
        <v>500</v>
      </c>
      <c r="AG455" s="543"/>
      <c r="AH455" s="542"/>
      <c r="AI455" s="518">
        <f>$E455</f>
        <v>500</v>
      </c>
      <c r="AJ455" s="543"/>
      <c r="AK455" s="542"/>
      <c r="AL455" s="518">
        <f>$E455</f>
        <v>500</v>
      </c>
    </row>
    <row r="456" spans="1:38" x14ac:dyDescent="0.35">
      <c r="A456" s="471">
        <f t="shared" si="27"/>
        <v>6000</v>
      </c>
      <c r="B456" s="506" t="s">
        <v>644</v>
      </c>
      <c r="C456" s="541"/>
      <c r="D456" s="542"/>
      <c r="E456" s="518">
        <v>500</v>
      </c>
      <c r="F456" s="541"/>
      <c r="G456" s="542"/>
      <c r="H456" s="518">
        <v>500</v>
      </c>
      <c r="I456" s="541"/>
      <c r="J456" s="542"/>
      <c r="K456" s="518">
        <v>500</v>
      </c>
      <c r="L456" s="541"/>
      <c r="M456" s="542"/>
      <c r="N456" s="518">
        <v>500</v>
      </c>
      <c r="O456" s="541"/>
      <c r="P456" s="542"/>
      <c r="Q456" s="518">
        <v>500</v>
      </c>
      <c r="R456" s="541"/>
      <c r="S456" s="542"/>
      <c r="T456" s="518">
        <v>500</v>
      </c>
      <c r="U456" s="541"/>
      <c r="V456" s="542"/>
      <c r="W456" s="518">
        <v>500</v>
      </c>
      <c r="X456" s="541"/>
      <c r="Y456" s="542"/>
      <c r="Z456" s="518">
        <v>500</v>
      </c>
      <c r="AA456" s="541"/>
      <c r="AB456" s="542"/>
      <c r="AC456" s="518">
        <v>500</v>
      </c>
      <c r="AD456" s="541"/>
      <c r="AE456" s="542"/>
      <c r="AF456" s="518">
        <v>500</v>
      </c>
      <c r="AG456" s="541"/>
      <c r="AH456" s="542"/>
      <c r="AI456" s="518">
        <v>500</v>
      </c>
      <c r="AJ456" s="541"/>
      <c r="AK456" s="542"/>
      <c r="AL456" s="518">
        <v>500</v>
      </c>
    </row>
    <row r="457" spans="1:38" x14ac:dyDescent="0.35">
      <c r="A457" s="471"/>
      <c r="B457" s="506" t="s">
        <v>658</v>
      </c>
      <c r="C457" s="541"/>
      <c r="D457" s="542"/>
      <c r="E457" s="518">
        <v>750</v>
      </c>
      <c r="F457" s="543"/>
      <c r="G457" s="542"/>
      <c r="H457" s="518">
        <f>E457</f>
        <v>750</v>
      </c>
      <c r="I457" s="543"/>
      <c r="J457" s="542"/>
      <c r="K457" s="518">
        <f>H457</f>
        <v>750</v>
      </c>
      <c r="L457" s="543"/>
      <c r="M457" s="542"/>
      <c r="N457" s="518">
        <f>K457</f>
        <v>750</v>
      </c>
      <c r="O457" s="543"/>
      <c r="P457" s="542"/>
      <c r="Q457" s="518">
        <f>N457</f>
        <v>750</v>
      </c>
      <c r="R457" s="543"/>
      <c r="S457" s="542"/>
      <c r="T457" s="518">
        <f>Q457</f>
        <v>750</v>
      </c>
      <c r="U457" s="543"/>
      <c r="V457" s="542"/>
      <c r="W457" s="518">
        <f>T457</f>
        <v>750</v>
      </c>
      <c r="X457" s="543"/>
      <c r="Y457" s="542"/>
      <c r="Z457" s="518">
        <f>W457</f>
        <v>750</v>
      </c>
      <c r="AA457" s="543"/>
      <c r="AB457" s="542"/>
      <c r="AC457" s="518">
        <f>Z457</f>
        <v>750</v>
      </c>
      <c r="AD457" s="543"/>
      <c r="AE457" s="542"/>
      <c r="AF457" s="518">
        <f>AC457</f>
        <v>750</v>
      </c>
      <c r="AG457" s="543"/>
      <c r="AH457" s="542"/>
      <c r="AI457" s="518">
        <f>AF457</f>
        <v>750</v>
      </c>
      <c r="AJ457" s="543"/>
      <c r="AK457" s="542"/>
      <c r="AL457" s="518">
        <f>AI457</f>
        <v>750</v>
      </c>
    </row>
    <row r="458" spans="1:38" x14ac:dyDescent="0.35">
      <c r="A458" s="471">
        <f t="shared" ref="A458:A466" si="28">SUM(E458,H458,K458,N458,Q458,T458,W458,Z458,AC458,AF458,AI458,AL458)</f>
        <v>3050</v>
      </c>
      <c r="B458" s="506" t="s">
        <v>657</v>
      </c>
      <c r="C458" s="541"/>
      <c r="D458" s="542"/>
      <c r="E458" s="518">
        <f>1000+1000+250</f>
        <v>2250</v>
      </c>
      <c r="F458" s="541"/>
      <c r="G458" s="542"/>
      <c r="H458" s="518"/>
      <c r="I458" s="541"/>
      <c r="J458" s="542"/>
      <c r="K458" s="518">
        <v>200</v>
      </c>
      <c r="L458" s="541"/>
      <c r="M458" s="542"/>
      <c r="N458" s="518"/>
      <c r="O458" s="541"/>
      <c r="P458" s="542"/>
      <c r="Q458" s="518"/>
      <c r="R458" s="541"/>
      <c r="S458" s="542"/>
      <c r="T458" s="518">
        <v>200</v>
      </c>
      <c r="U458" s="541"/>
      <c r="V458" s="542"/>
      <c r="W458" s="518"/>
      <c r="X458" s="541"/>
      <c r="Y458" s="542"/>
      <c r="Z458" s="518"/>
      <c r="AA458" s="541"/>
      <c r="AB458" s="542"/>
      <c r="AC458" s="518">
        <v>200</v>
      </c>
      <c r="AD458" s="541"/>
      <c r="AE458" s="542"/>
      <c r="AF458" s="518"/>
      <c r="AG458" s="541"/>
      <c r="AH458" s="542"/>
      <c r="AI458" s="518"/>
      <c r="AJ458" s="541"/>
      <c r="AK458" s="542"/>
      <c r="AL458" s="518">
        <v>200</v>
      </c>
    </row>
    <row r="459" spans="1:38" x14ac:dyDescent="0.35">
      <c r="A459" s="471">
        <f t="shared" si="28"/>
        <v>1200</v>
      </c>
      <c r="B459" s="506" t="s">
        <v>645</v>
      </c>
      <c r="C459" s="541"/>
      <c r="D459" s="542"/>
      <c r="E459" s="518">
        <v>100</v>
      </c>
      <c r="F459" s="541"/>
      <c r="G459" s="542"/>
      <c r="H459" s="518">
        <v>100</v>
      </c>
      <c r="I459" s="541"/>
      <c r="J459" s="542"/>
      <c r="K459" s="518">
        <v>100</v>
      </c>
      <c r="L459" s="541"/>
      <c r="M459" s="542"/>
      <c r="N459" s="518">
        <v>100</v>
      </c>
      <c r="O459" s="541"/>
      <c r="P459" s="542"/>
      <c r="Q459" s="518">
        <v>100</v>
      </c>
      <c r="R459" s="541"/>
      <c r="S459" s="542"/>
      <c r="T459" s="518">
        <v>100</v>
      </c>
      <c r="U459" s="541"/>
      <c r="V459" s="542"/>
      <c r="W459" s="518">
        <v>100</v>
      </c>
      <c r="X459" s="541"/>
      <c r="Y459" s="542"/>
      <c r="Z459" s="518">
        <v>100</v>
      </c>
      <c r="AA459" s="541"/>
      <c r="AB459" s="542"/>
      <c r="AC459" s="518">
        <v>100</v>
      </c>
      <c r="AD459" s="541"/>
      <c r="AE459" s="542"/>
      <c r="AF459" s="518">
        <v>100</v>
      </c>
      <c r="AG459" s="541"/>
      <c r="AH459" s="542"/>
      <c r="AI459" s="518">
        <v>100</v>
      </c>
      <c r="AJ459" s="541"/>
      <c r="AK459" s="542"/>
      <c r="AL459" s="518">
        <v>100</v>
      </c>
    </row>
    <row r="460" spans="1:38" x14ac:dyDescent="0.35">
      <c r="A460" s="471">
        <f t="shared" si="28"/>
        <v>0</v>
      </c>
      <c r="B460" s="506" t="s">
        <v>646</v>
      </c>
      <c r="C460" s="541"/>
      <c r="D460" s="542"/>
      <c r="E460" s="518"/>
      <c r="F460" s="541"/>
      <c r="G460" s="542"/>
      <c r="H460" s="518"/>
      <c r="I460" s="541"/>
      <c r="J460" s="542"/>
      <c r="K460" s="518"/>
      <c r="L460" s="541"/>
      <c r="M460" s="542"/>
      <c r="N460" s="518"/>
      <c r="O460" s="541"/>
      <c r="P460" s="542"/>
      <c r="Q460" s="518"/>
      <c r="R460" s="541"/>
      <c r="S460" s="542"/>
      <c r="T460" s="518"/>
      <c r="U460" s="541"/>
      <c r="V460" s="542"/>
      <c r="W460" s="518"/>
      <c r="X460" s="541"/>
      <c r="Y460" s="542"/>
      <c r="Z460" s="518"/>
      <c r="AA460" s="541"/>
      <c r="AB460" s="542"/>
      <c r="AC460" s="518"/>
      <c r="AD460" s="541"/>
      <c r="AE460" s="542"/>
      <c r="AF460" s="518"/>
      <c r="AG460" s="541"/>
      <c r="AH460" s="542"/>
      <c r="AI460" s="518"/>
      <c r="AJ460" s="541"/>
      <c r="AK460" s="542"/>
      <c r="AL460" s="518"/>
    </row>
    <row r="461" spans="1:38" x14ac:dyDescent="0.35">
      <c r="A461" s="471">
        <f t="shared" si="28"/>
        <v>0</v>
      </c>
      <c r="B461" s="506" t="s">
        <v>647</v>
      </c>
      <c r="C461" s="541"/>
      <c r="D461" s="542"/>
      <c r="E461" s="518"/>
      <c r="F461" s="541"/>
      <c r="G461" s="542"/>
      <c r="H461" s="518"/>
      <c r="I461" s="541"/>
      <c r="J461" s="542"/>
      <c r="K461" s="518"/>
      <c r="L461" s="541"/>
      <c r="M461" s="542"/>
      <c r="N461" s="518"/>
      <c r="O461" s="541"/>
      <c r="P461" s="542"/>
      <c r="Q461" s="518"/>
      <c r="R461" s="541"/>
      <c r="S461" s="542"/>
      <c r="T461" s="518"/>
      <c r="U461" s="541"/>
      <c r="V461" s="542"/>
      <c r="W461" s="518"/>
      <c r="X461" s="541"/>
      <c r="Y461" s="542"/>
      <c r="Z461" s="518"/>
      <c r="AA461" s="541"/>
      <c r="AB461" s="542"/>
      <c r="AC461" s="518"/>
      <c r="AD461" s="541"/>
      <c r="AE461" s="542"/>
      <c r="AF461" s="518"/>
      <c r="AG461" s="541"/>
      <c r="AH461" s="542"/>
      <c r="AI461" s="518"/>
      <c r="AJ461" s="541"/>
      <c r="AK461" s="542"/>
      <c r="AL461" s="518"/>
    </row>
    <row r="462" spans="1:38" x14ac:dyDescent="0.35">
      <c r="A462" s="471">
        <f t="shared" si="28"/>
        <v>2400</v>
      </c>
      <c r="B462" s="506" t="s">
        <v>648</v>
      </c>
      <c r="C462" s="541"/>
      <c r="D462" s="542"/>
      <c r="E462" s="518">
        <v>200</v>
      </c>
      <c r="F462" s="541"/>
      <c r="G462" s="542"/>
      <c r="H462" s="518">
        <v>200</v>
      </c>
      <c r="I462" s="541"/>
      <c r="J462" s="542"/>
      <c r="K462" s="518">
        <v>200</v>
      </c>
      <c r="L462" s="541"/>
      <c r="M462" s="542"/>
      <c r="N462" s="518">
        <v>200</v>
      </c>
      <c r="O462" s="541"/>
      <c r="P462" s="542"/>
      <c r="Q462" s="518">
        <v>200</v>
      </c>
      <c r="R462" s="541"/>
      <c r="S462" s="542"/>
      <c r="T462" s="518">
        <v>200</v>
      </c>
      <c r="U462" s="541"/>
      <c r="V462" s="542"/>
      <c r="W462" s="518">
        <v>200</v>
      </c>
      <c r="X462" s="541"/>
      <c r="Y462" s="542"/>
      <c r="Z462" s="518">
        <v>200</v>
      </c>
      <c r="AA462" s="541"/>
      <c r="AB462" s="542"/>
      <c r="AC462" s="518">
        <v>200</v>
      </c>
      <c r="AD462" s="541"/>
      <c r="AE462" s="542"/>
      <c r="AF462" s="518">
        <v>200</v>
      </c>
      <c r="AG462" s="541"/>
      <c r="AH462" s="542"/>
      <c r="AI462" s="518">
        <v>200</v>
      </c>
      <c r="AJ462" s="541"/>
      <c r="AK462" s="542"/>
      <c r="AL462" s="518">
        <v>200</v>
      </c>
    </row>
    <row r="463" spans="1:38" x14ac:dyDescent="0.35">
      <c r="A463" s="471">
        <f t="shared" si="28"/>
        <v>3600</v>
      </c>
      <c r="B463" s="506" t="s">
        <v>649</v>
      </c>
      <c r="C463" s="541"/>
      <c r="D463" s="542"/>
      <c r="E463" s="518">
        <v>300</v>
      </c>
      <c r="F463" s="541"/>
      <c r="G463" s="542"/>
      <c r="H463" s="518">
        <v>300</v>
      </c>
      <c r="I463" s="541"/>
      <c r="J463" s="542"/>
      <c r="K463" s="518">
        <v>300</v>
      </c>
      <c r="L463" s="541"/>
      <c r="M463" s="542"/>
      <c r="N463" s="518">
        <v>300</v>
      </c>
      <c r="O463" s="541"/>
      <c r="P463" s="542"/>
      <c r="Q463" s="518">
        <v>300</v>
      </c>
      <c r="R463" s="541"/>
      <c r="S463" s="542"/>
      <c r="T463" s="518">
        <v>300</v>
      </c>
      <c r="U463" s="541"/>
      <c r="V463" s="542"/>
      <c r="W463" s="518">
        <v>300</v>
      </c>
      <c r="X463" s="541"/>
      <c r="Y463" s="542"/>
      <c r="Z463" s="518">
        <v>300</v>
      </c>
      <c r="AA463" s="541"/>
      <c r="AB463" s="542"/>
      <c r="AC463" s="518">
        <v>300</v>
      </c>
      <c r="AD463" s="541"/>
      <c r="AE463" s="542"/>
      <c r="AF463" s="518">
        <v>300</v>
      </c>
      <c r="AG463" s="541"/>
      <c r="AH463" s="542"/>
      <c r="AI463" s="518">
        <v>300</v>
      </c>
      <c r="AJ463" s="541"/>
      <c r="AK463" s="542"/>
      <c r="AL463" s="518">
        <v>300</v>
      </c>
    </row>
    <row r="464" spans="1:38" x14ac:dyDescent="0.35">
      <c r="A464" s="471">
        <f t="shared" si="28"/>
        <v>0</v>
      </c>
      <c r="B464" s="506" t="s">
        <v>650</v>
      </c>
      <c r="C464" s="541"/>
      <c r="D464" s="542"/>
      <c r="E464" s="518"/>
      <c r="F464" s="541"/>
      <c r="G464" s="542"/>
      <c r="H464" s="518"/>
      <c r="I464" s="541"/>
      <c r="J464" s="542"/>
      <c r="K464" s="518"/>
      <c r="L464" s="541"/>
      <c r="M464" s="542"/>
      <c r="N464" s="518"/>
      <c r="O464" s="541"/>
      <c r="P464" s="542"/>
      <c r="Q464" s="518"/>
      <c r="R464" s="541"/>
      <c r="S464" s="542"/>
      <c r="T464" s="518"/>
      <c r="U464" s="541"/>
      <c r="V464" s="542"/>
      <c r="W464" s="518"/>
      <c r="X464" s="541"/>
      <c r="Y464" s="542"/>
      <c r="Z464" s="518"/>
      <c r="AA464" s="541"/>
      <c r="AB464" s="542"/>
      <c r="AC464" s="518"/>
      <c r="AD464" s="541"/>
      <c r="AE464" s="542"/>
      <c r="AF464" s="518"/>
      <c r="AG464" s="541"/>
      <c r="AH464" s="542"/>
      <c r="AI464" s="518"/>
      <c r="AJ464" s="541"/>
      <c r="AK464" s="542"/>
      <c r="AL464" s="518"/>
    </row>
    <row r="465" spans="1:41" x14ac:dyDescent="0.35">
      <c r="A465" s="471">
        <f t="shared" si="28"/>
        <v>21000</v>
      </c>
      <c r="B465" s="506" t="s">
        <v>651</v>
      </c>
      <c r="C465" s="541"/>
      <c r="D465" s="542"/>
      <c r="E465" s="518">
        <f>(150+250)+(1350*1)</f>
        <v>1750</v>
      </c>
      <c r="F465" s="543"/>
      <c r="G465" s="542"/>
      <c r="H465" s="518">
        <f>E465</f>
        <v>1750</v>
      </c>
      <c r="I465" s="543"/>
      <c r="J465" s="542"/>
      <c r="K465" s="518">
        <f>H465</f>
        <v>1750</v>
      </c>
      <c r="L465" s="543"/>
      <c r="M465" s="542"/>
      <c r="N465" s="518">
        <f>K465</f>
        <v>1750</v>
      </c>
      <c r="O465" s="543"/>
      <c r="P465" s="542"/>
      <c r="Q465" s="518">
        <f>N465</f>
        <v>1750</v>
      </c>
      <c r="R465" s="543"/>
      <c r="S465" s="542"/>
      <c r="T465" s="518">
        <f>Q465</f>
        <v>1750</v>
      </c>
      <c r="U465" s="543"/>
      <c r="V465" s="542"/>
      <c r="W465" s="518">
        <f>T465</f>
        <v>1750</v>
      </c>
      <c r="X465" s="543"/>
      <c r="Y465" s="542"/>
      <c r="Z465" s="518">
        <f>W465</f>
        <v>1750</v>
      </c>
      <c r="AA465" s="543"/>
      <c r="AB465" s="542"/>
      <c r="AC465" s="518">
        <f>Z465</f>
        <v>1750</v>
      </c>
      <c r="AD465" s="543"/>
      <c r="AE465" s="542"/>
      <c r="AF465" s="518">
        <f>AC465</f>
        <v>1750</v>
      </c>
      <c r="AG465" s="543"/>
      <c r="AH465" s="542"/>
      <c r="AI465" s="518">
        <f>AF465</f>
        <v>1750</v>
      </c>
      <c r="AJ465" s="543"/>
      <c r="AK465" s="542"/>
      <c r="AL465" s="518">
        <f>AI465</f>
        <v>1750</v>
      </c>
    </row>
    <row r="466" spans="1:41" x14ac:dyDescent="0.35">
      <c r="A466" s="471">
        <f t="shared" si="28"/>
        <v>6000</v>
      </c>
      <c r="B466" s="506" t="s">
        <v>652</v>
      </c>
      <c r="C466" s="541"/>
      <c r="D466" s="542"/>
      <c r="E466" s="518">
        <v>500</v>
      </c>
      <c r="F466" s="541"/>
      <c r="G466" s="542"/>
      <c r="H466" s="518">
        <v>500</v>
      </c>
      <c r="I466" s="541"/>
      <c r="J466" s="542"/>
      <c r="K466" s="518">
        <v>500</v>
      </c>
      <c r="L466" s="541"/>
      <c r="M466" s="542"/>
      <c r="N466" s="518">
        <v>500</v>
      </c>
      <c r="O466" s="541"/>
      <c r="P466" s="542"/>
      <c r="Q466" s="518">
        <v>500</v>
      </c>
      <c r="R466" s="541"/>
      <c r="S466" s="542"/>
      <c r="T466" s="518">
        <v>500</v>
      </c>
      <c r="U466" s="541"/>
      <c r="V466" s="542"/>
      <c r="W466" s="518">
        <v>500</v>
      </c>
      <c r="X466" s="541"/>
      <c r="Y466" s="542"/>
      <c r="Z466" s="518">
        <v>500</v>
      </c>
      <c r="AA466" s="541"/>
      <c r="AB466" s="542"/>
      <c r="AC466" s="518">
        <v>500</v>
      </c>
      <c r="AD466" s="541"/>
      <c r="AE466" s="542"/>
      <c r="AF466" s="518">
        <v>500</v>
      </c>
      <c r="AG466" s="541"/>
      <c r="AH466" s="542"/>
      <c r="AI466" s="518">
        <v>500</v>
      </c>
      <c r="AJ466" s="541"/>
      <c r="AK466" s="542"/>
      <c r="AL466" s="518">
        <v>500</v>
      </c>
    </row>
    <row r="467" spans="1:41" x14ac:dyDescent="0.35">
      <c r="A467" s="471"/>
      <c r="B467" s="506" t="s">
        <v>655</v>
      </c>
      <c r="C467" s="541"/>
      <c r="D467" s="542"/>
      <c r="E467" s="518"/>
      <c r="F467" s="541"/>
      <c r="G467" s="542"/>
      <c r="H467" s="518"/>
      <c r="I467" s="541"/>
      <c r="J467" s="542"/>
      <c r="K467" s="518"/>
      <c r="L467" s="541"/>
      <c r="M467" s="542"/>
      <c r="N467" s="518"/>
      <c r="O467" s="541"/>
      <c r="P467" s="542"/>
      <c r="Q467" s="518"/>
      <c r="R467" s="541"/>
      <c r="S467" s="542"/>
      <c r="T467" s="518"/>
      <c r="U467" s="541"/>
      <c r="V467" s="542"/>
      <c r="W467" s="518"/>
      <c r="X467" s="541"/>
      <c r="Y467" s="542"/>
      <c r="Z467" s="518"/>
      <c r="AA467" s="541"/>
      <c r="AB467" s="542"/>
      <c r="AC467" s="518"/>
      <c r="AD467" s="541"/>
      <c r="AE467" s="542"/>
      <c r="AF467" s="518"/>
      <c r="AG467" s="541"/>
      <c r="AH467" s="542"/>
      <c r="AI467" s="518"/>
      <c r="AJ467" s="541"/>
      <c r="AK467" s="542"/>
      <c r="AL467" s="518"/>
    </row>
    <row r="468" spans="1:41" x14ac:dyDescent="0.35">
      <c r="A468" s="471"/>
      <c r="B468" s="506" t="s">
        <v>656</v>
      </c>
      <c r="C468" s="541"/>
      <c r="D468" s="542"/>
      <c r="E468" s="518"/>
      <c r="F468" s="541"/>
      <c r="G468" s="542"/>
      <c r="H468" s="518"/>
      <c r="I468" s="541"/>
      <c r="J468" s="542"/>
      <c r="K468" s="518"/>
      <c r="L468" s="541"/>
      <c r="M468" s="542"/>
      <c r="N468" s="518"/>
      <c r="O468" s="541"/>
      <c r="P468" s="542"/>
      <c r="Q468" s="518"/>
      <c r="R468" s="541"/>
      <c r="S468" s="542"/>
      <c r="T468" s="518"/>
      <c r="U468" s="541"/>
      <c r="V468" s="542"/>
      <c r="W468" s="518"/>
      <c r="X468" s="541"/>
      <c r="Y468" s="542"/>
      <c r="Z468" s="518"/>
      <c r="AA468" s="541"/>
      <c r="AB468" s="542"/>
      <c r="AC468" s="518"/>
      <c r="AD468" s="541"/>
      <c r="AE468" s="542"/>
      <c r="AF468" s="518"/>
      <c r="AG468" s="541"/>
      <c r="AH468" s="542"/>
      <c r="AI468" s="518"/>
      <c r="AJ468" s="541"/>
      <c r="AK468" s="542"/>
      <c r="AL468" s="518"/>
    </row>
    <row r="469" spans="1:41" x14ac:dyDescent="0.35">
      <c r="A469" s="469">
        <f>SUM(E469,H469,K469,N469,Q469,T469,W469,Z469,AC469,AF469,AI469,AL469)</f>
        <v>67850</v>
      </c>
      <c r="B469" s="509" t="s">
        <v>728</v>
      </c>
      <c r="C469" s="539"/>
      <c r="D469" s="540"/>
      <c r="E469" s="510">
        <f>SUM(E451:E468)</f>
        <v>7650</v>
      </c>
      <c r="F469" s="539"/>
      <c r="G469" s="540"/>
      <c r="H469" s="510">
        <f>SUM(H451:H468)</f>
        <v>5400</v>
      </c>
      <c r="I469" s="539"/>
      <c r="J469" s="540"/>
      <c r="K469" s="510">
        <f>SUM(K451:K468)</f>
        <v>5600</v>
      </c>
      <c r="L469" s="539"/>
      <c r="M469" s="540"/>
      <c r="N469" s="510">
        <f>SUM(N451:N468)</f>
        <v>5400</v>
      </c>
      <c r="O469" s="539"/>
      <c r="P469" s="540"/>
      <c r="Q469" s="510">
        <f>SUM(Q451:Q468)</f>
        <v>5400</v>
      </c>
      <c r="R469" s="539"/>
      <c r="S469" s="540"/>
      <c r="T469" s="510">
        <f>SUM(T451:T468)</f>
        <v>5600</v>
      </c>
      <c r="U469" s="539"/>
      <c r="V469" s="540"/>
      <c r="W469" s="510">
        <f>SUM(W451:W468)</f>
        <v>5400</v>
      </c>
      <c r="X469" s="539"/>
      <c r="Y469" s="540"/>
      <c r="Z469" s="510">
        <f>SUM(Z451:Z468)</f>
        <v>5400</v>
      </c>
      <c r="AA469" s="539"/>
      <c r="AB469" s="540"/>
      <c r="AC469" s="510">
        <f>SUM(AC451:AC468)</f>
        <v>5600</v>
      </c>
      <c r="AD469" s="539"/>
      <c r="AE469" s="540"/>
      <c r="AF469" s="510">
        <f>SUM(AF451:AF468)</f>
        <v>5400</v>
      </c>
      <c r="AG469" s="539"/>
      <c r="AH469" s="540"/>
      <c r="AI469" s="510">
        <f>SUM(AI451:AI468)</f>
        <v>5400</v>
      </c>
      <c r="AJ469" s="539"/>
      <c r="AK469" s="540"/>
      <c r="AL469" s="510">
        <f>SUM(AL451:AL468)</f>
        <v>5600</v>
      </c>
    </row>
    <row r="471" spans="1:41" x14ac:dyDescent="0.35">
      <c r="A471" s="469">
        <f>SUM(E471,H471,K471,N471,Q471,T471,W471,Z471,AC471,AF471,AI471,AL471)</f>
        <v>124500.59271999999</v>
      </c>
      <c r="B471" s="509" t="s">
        <v>680</v>
      </c>
      <c r="C471" s="539"/>
      <c r="D471" s="540"/>
      <c r="E471" s="510">
        <f>E438</f>
        <v>8103.9146666666666</v>
      </c>
      <c r="F471" s="539"/>
      <c r="G471" s="540"/>
      <c r="H471" s="510">
        <f>H438</f>
        <v>7415.9146666666666</v>
      </c>
      <c r="I471" s="539"/>
      <c r="J471" s="540"/>
      <c r="K471" s="510">
        <f>K438</f>
        <v>7703.9146666666666</v>
      </c>
      <c r="L471" s="539"/>
      <c r="M471" s="540"/>
      <c r="N471" s="510">
        <f>N438</f>
        <v>14184.248239999999</v>
      </c>
      <c r="O471" s="539"/>
      <c r="P471" s="540"/>
      <c r="Q471" s="510">
        <f>Q438</f>
        <v>16418.556239999998</v>
      </c>
      <c r="R471" s="539"/>
      <c r="S471" s="540"/>
      <c r="T471" s="510">
        <f>T438</f>
        <v>16706.556239999998</v>
      </c>
      <c r="U471" s="539"/>
      <c r="V471" s="540"/>
      <c r="W471" s="510">
        <f>W438</f>
        <v>10151.914666666667</v>
      </c>
      <c r="X471" s="539"/>
      <c r="Y471" s="540"/>
      <c r="Z471" s="510">
        <f>Z438</f>
        <v>10151.914666666667</v>
      </c>
      <c r="AA471" s="539"/>
      <c r="AB471" s="540"/>
      <c r="AC471" s="510">
        <f>AC438</f>
        <v>10151.914666666667</v>
      </c>
      <c r="AD471" s="539"/>
      <c r="AE471" s="540"/>
      <c r="AF471" s="510">
        <f>AF438</f>
        <v>8103.9146666666666</v>
      </c>
      <c r="AG471" s="539"/>
      <c r="AH471" s="540"/>
      <c r="AI471" s="510">
        <f>AI438</f>
        <v>7703.9146666666666</v>
      </c>
      <c r="AJ471" s="539"/>
      <c r="AK471" s="540"/>
      <c r="AL471" s="510">
        <f>AL438</f>
        <v>7703.9146666666666</v>
      </c>
    </row>
    <row r="472" spans="1:41" x14ac:dyDescent="0.35">
      <c r="A472" s="469">
        <f>SUM(E472,H472,K472,N472,Q472,T472,W472,Z472,AC472,AF472,AI472,AL472)</f>
        <v>166466.95999999996</v>
      </c>
      <c r="B472" s="509" t="s">
        <v>681</v>
      </c>
      <c r="C472" s="539"/>
      <c r="D472" s="540"/>
      <c r="E472" s="510">
        <f>E448+E469</f>
        <v>15868.08</v>
      </c>
      <c r="F472" s="539"/>
      <c r="G472" s="540"/>
      <c r="H472" s="510">
        <f>H448+H469</f>
        <v>13618.08</v>
      </c>
      <c r="I472" s="539"/>
      <c r="J472" s="540"/>
      <c r="K472" s="510">
        <f>K448+K469</f>
        <v>13818.08</v>
      </c>
      <c r="L472" s="539"/>
      <c r="M472" s="540"/>
      <c r="N472" s="510">
        <f>N448+N469</f>
        <v>13618.08</v>
      </c>
      <c r="O472" s="539"/>
      <c r="P472" s="540"/>
      <c r="Q472" s="510">
        <f>Q448+Q469</f>
        <v>13618.08</v>
      </c>
      <c r="R472" s="539"/>
      <c r="S472" s="540"/>
      <c r="T472" s="510">
        <f>T448+T469</f>
        <v>13818.08</v>
      </c>
      <c r="U472" s="539"/>
      <c r="V472" s="540"/>
      <c r="W472" s="510">
        <f>W448+W469</f>
        <v>13618.08</v>
      </c>
      <c r="X472" s="539"/>
      <c r="Y472" s="540"/>
      <c r="Z472" s="510">
        <f>Z448+Z469</f>
        <v>13618.08</v>
      </c>
      <c r="AA472" s="539"/>
      <c r="AB472" s="540"/>
      <c r="AC472" s="510">
        <f>AC448+AC469</f>
        <v>13818.08</v>
      </c>
      <c r="AD472" s="539"/>
      <c r="AE472" s="540"/>
      <c r="AF472" s="510">
        <f>AF448+AF469</f>
        <v>13618.08</v>
      </c>
      <c r="AG472" s="539"/>
      <c r="AH472" s="540"/>
      <c r="AI472" s="510">
        <f>AI448+AI469</f>
        <v>13618.08</v>
      </c>
      <c r="AJ472" s="539"/>
      <c r="AK472" s="540"/>
      <c r="AL472" s="510">
        <f>AL448+AL469</f>
        <v>13818.08</v>
      </c>
    </row>
    <row r="473" spans="1:41" x14ac:dyDescent="0.35">
      <c r="A473" s="469">
        <f>SUM(E473,H473,K473,N473,Q473,T473,W473,Z473,AC473,AF473,AI473,AL473)</f>
        <v>-41966.367279999999</v>
      </c>
      <c r="B473" s="509" t="s">
        <v>682</v>
      </c>
      <c r="C473" s="539"/>
      <c r="D473" s="540"/>
      <c r="E473" s="510">
        <f>E471-E472</f>
        <v>-7764.1653333333334</v>
      </c>
      <c r="F473" s="539"/>
      <c r="G473" s="540"/>
      <c r="H473" s="510">
        <f>H471-H472</f>
        <v>-6202.1653333333334</v>
      </c>
      <c r="I473" s="539"/>
      <c r="J473" s="540"/>
      <c r="K473" s="510">
        <f>K471-K472</f>
        <v>-6114.1653333333334</v>
      </c>
      <c r="L473" s="539"/>
      <c r="M473" s="540"/>
      <c r="N473" s="510">
        <f>N471-N472</f>
        <v>566.16823999999906</v>
      </c>
      <c r="O473" s="539"/>
      <c r="P473" s="540"/>
      <c r="Q473" s="510">
        <f>Q471-Q472</f>
        <v>2800.4762399999981</v>
      </c>
      <c r="R473" s="539"/>
      <c r="S473" s="540"/>
      <c r="T473" s="510">
        <f>T471-T472</f>
        <v>2888.4762399999981</v>
      </c>
      <c r="U473" s="539"/>
      <c r="V473" s="540"/>
      <c r="W473" s="510">
        <f>W471-W472</f>
        <v>-3466.1653333333325</v>
      </c>
      <c r="X473" s="539"/>
      <c r="Y473" s="540"/>
      <c r="Z473" s="510">
        <f>Z471-Z472</f>
        <v>-3466.1653333333325</v>
      </c>
      <c r="AA473" s="539"/>
      <c r="AB473" s="540"/>
      <c r="AC473" s="510">
        <f>AC471-AC472</f>
        <v>-3666.1653333333325</v>
      </c>
      <c r="AD473" s="539"/>
      <c r="AE473" s="540"/>
      <c r="AF473" s="510">
        <f>AF471-AF472</f>
        <v>-5514.1653333333334</v>
      </c>
      <c r="AG473" s="539"/>
      <c r="AH473" s="540"/>
      <c r="AI473" s="510">
        <f>AI471-AI472</f>
        <v>-5914.1653333333334</v>
      </c>
      <c r="AJ473" s="539"/>
      <c r="AK473" s="540"/>
      <c r="AL473" s="510">
        <f>AL471-AL472</f>
        <v>-6114.1653333333334</v>
      </c>
    </row>
    <row r="475" spans="1:41" x14ac:dyDescent="0.35">
      <c r="A475" s="537" t="s">
        <v>529</v>
      </c>
      <c r="B475" s="537"/>
      <c r="C475" s="537"/>
      <c r="D475" s="537"/>
      <c r="E475" s="537"/>
      <c r="F475" s="537"/>
      <c r="G475" s="537"/>
      <c r="H475" s="537"/>
      <c r="I475" s="537"/>
      <c r="J475" s="537"/>
      <c r="K475" s="537"/>
      <c r="L475" s="537"/>
      <c r="M475" s="537"/>
      <c r="N475" s="537"/>
      <c r="O475" s="537"/>
      <c r="P475" s="537"/>
      <c r="Q475" s="537"/>
      <c r="R475" s="537"/>
      <c r="S475" s="537"/>
      <c r="T475" s="537"/>
      <c r="U475" s="537"/>
      <c r="V475" s="537"/>
      <c r="W475" s="537"/>
      <c r="X475" s="537"/>
      <c r="Y475" s="537"/>
      <c r="Z475" s="537"/>
      <c r="AA475" s="537"/>
      <c r="AB475" s="537"/>
      <c r="AC475" s="537"/>
      <c r="AD475" s="537"/>
      <c r="AE475" s="537"/>
      <c r="AF475" s="537"/>
      <c r="AG475" s="537"/>
      <c r="AH475" s="537"/>
      <c r="AI475" s="537"/>
      <c r="AJ475" s="537"/>
      <c r="AK475" s="537"/>
      <c r="AL475" s="538"/>
      <c r="AN475" s="536" t="s">
        <v>761</v>
      </c>
      <c r="AO475" s="536"/>
    </row>
    <row r="476" spans="1:41" x14ac:dyDescent="0.35">
      <c r="A476" s="114" t="s">
        <v>686</v>
      </c>
      <c r="B476" s="475">
        <f>SUM(R488,R497,R498,R499,R500,R501)</f>
        <v>224</v>
      </c>
      <c r="C476" s="462"/>
      <c r="D476" s="463" t="s">
        <v>510</v>
      </c>
      <c r="E476" s="464" t="s">
        <v>615</v>
      </c>
      <c r="F476" s="462"/>
      <c r="G476" s="463" t="s">
        <v>510</v>
      </c>
      <c r="H476" s="464" t="s">
        <v>616</v>
      </c>
      <c r="I476" s="462"/>
      <c r="J476" s="463" t="s">
        <v>510</v>
      </c>
      <c r="K476" s="464" t="s">
        <v>617</v>
      </c>
      <c r="L476" s="462"/>
      <c r="M476" s="463" t="s">
        <v>510</v>
      </c>
      <c r="N476" s="464" t="s">
        <v>618</v>
      </c>
      <c r="O476" s="462"/>
      <c r="P476" s="463" t="s">
        <v>510</v>
      </c>
      <c r="Q476" s="464" t="s">
        <v>619</v>
      </c>
      <c r="R476" s="462"/>
      <c r="S476" s="463" t="s">
        <v>510</v>
      </c>
      <c r="T476" s="464" t="s">
        <v>620</v>
      </c>
      <c r="U476" s="462"/>
      <c r="V476" s="463" t="s">
        <v>510</v>
      </c>
      <c r="W476" s="464" t="s">
        <v>621</v>
      </c>
      <c r="X476" s="462"/>
      <c r="Y476" s="463" t="s">
        <v>510</v>
      </c>
      <c r="Z476" s="464" t="s">
        <v>622</v>
      </c>
      <c r="AA476" s="462"/>
      <c r="AB476" s="463" t="s">
        <v>510</v>
      </c>
      <c r="AC476" s="464" t="s">
        <v>623</v>
      </c>
      <c r="AD476" s="462"/>
      <c r="AE476" s="463" t="s">
        <v>510</v>
      </c>
      <c r="AF476" s="464" t="s">
        <v>624</v>
      </c>
      <c r="AG476" s="462"/>
      <c r="AH476" s="463" t="s">
        <v>510</v>
      </c>
      <c r="AI476" s="464" t="s">
        <v>625</v>
      </c>
      <c r="AJ476" s="462"/>
      <c r="AK476" s="463" t="s">
        <v>510</v>
      </c>
      <c r="AL476" s="464" t="s">
        <v>626</v>
      </c>
      <c r="AN476" s="114" t="s">
        <v>762</v>
      </c>
      <c r="AO476" s="446">
        <f>SUM(A480:A487)</f>
        <v>24072</v>
      </c>
    </row>
    <row r="477" spans="1:41" x14ac:dyDescent="0.35">
      <c r="B477" s="110"/>
      <c r="C477" s="465"/>
      <c r="D477" s="170" t="s">
        <v>35</v>
      </c>
      <c r="E477" s="469">
        <f>SUM(E480:E502)</f>
        <v>8103.9146666666666</v>
      </c>
      <c r="F477" s="465"/>
      <c r="G477" s="170" t="s">
        <v>35</v>
      </c>
      <c r="H477" s="469">
        <f>SUM(H480:H502)</f>
        <v>8508.9146666666675</v>
      </c>
      <c r="I477" s="465"/>
      <c r="J477" s="170" t="s">
        <v>35</v>
      </c>
      <c r="K477" s="469">
        <f>SUM(K480:K502)</f>
        <v>8508.9146666666675</v>
      </c>
      <c r="L477" s="465"/>
      <c r="M477" s="170" t="s">
        <v>35</v>
      </c>
      <c r="N477" s="469">
        <f>SUM(N480:N502)</f>
        <v>14989.248239999999</v>
      </c>
      <c r="O477" s="465"/>
      <c r="P477" s="170" t="s">
        <v>35</v>
      </c>
      <c r="Q477" s="469">
        <f>SUM(Q480:Q502)</f>
        <v>17511.556239999998</v>
      </c>
      <c r="R477" s="465"/>
      <c r="S477" s="170" t="s">
        <v>35</v>
      </c>
      <c r="T477" s="469">
        <f>SUM(T480:T502)</f>
        <v>17511.556239999998</v>
      </c>
      <c r="U477" s="465"/>
      <c r="V477" s="170" t="s">
        <v>35</v>
      </c>
      <c r="W477" s="469">
        <f>SUM(W480:W502)</f>
        <v>10956.914666666667</v>
      </c>
      <c r="X477" s="465"/>
      <c r="Y477" s="170" t="s">
        <v>35</v>
      </c>
      <c r="Z477" s="469">
        <f>SUM(Z480:Z502)</f>
        <v>10956.914666666667</v>
      </c>
      <c r="AA477" s="465"/>
      <c r="AB477" s="170" t="s">
        <v>35</v>
      </c>
      <c r="AC477" s="469">
        <f>SUM(AC480:AC502)</f>
        <v>10756.914666666667</v>
      </c>
      <c r="AD477" s="465"/>
      <c r="AE477" s="170" t="s">
        <v>35</v>
      </c>
      <c r="AF477" s="469">
        <f>SUM(AF480:AF502)</f>
        <v>8308.9146666666675</v>
      </c>
      <c r="AG477" s="465"/>
      <c r="AH477" s="170" t="s">
        <v>35</v>
      </c>
      <c r="AI477" s="469">
        <f>SUM(AI480:AI502)</f>
        <v>7828.9146666666666</v>
      </c>
      <c r="AJ477" s="465"/>
      <c r="AK477" s="170" t="s">
        <v>35</v>
      </c>
      <c r="AL477" s="469">
        <f>SUM(AL480:AL502)</f>
        <v>8308.9146666666675</v>
      </c>
      <c r="AN477" s="114" t="s">
        <v>763</v>
      </c>
      <c r="AO477" s="446">
        <f>SUM(A496,A497,A498,A501)</f>
        <v>49848.176719999996</v>
      </c>
    </row>
    <row r="478" spans="1:41" x14ac:dyDescent="0.35">
      <c r="A478" s="474" t="s">
        <v>270</v>
      </c>
      <c r="B478" s="470"/>
      <c r="C478" s="546" t="s">
        <v>512</v>
      </c>
      <c r="D478" s="547"/>
      <c r="E478" s="548"/>
      <c r="F478" s="546" t="s">
        <v>512</v>
      </c>
      <c r="G478" s="547"/>
      <c r="H478" s="548"/>
      <c r="I478" s="546" t="s">
        <v>512</v>
      </c>
      <c r="J478" s="547"/>
      <c r="K478" s="548"/>
      <c r="L478" s="546" t="s">
        <v>512</v>
      </c>
      <c r="M478" s="547"/>
      <c r="N478" s="548"/>
      <c r="O478" s="546" t="s">
        <v>512</v>
      </c>
      <c r="P478" s="547"/>
      <c r="Q478" s="548"/>
      <c r="R478" s="546" t="s">
        <v>512</v>
      </c>
      <c r="S478" s="547"/>
      <c r="T478" s="548"/>
      <c r="U478" s="546" t="s">
        <v>512</v>
      </c>
      <c r="V478" s="547"/>
      <c r="W478" s="548"/>
      <c r="X478" s="546" t="s">
        <v>512</v>
      </c>
      <c r="Y478" s="547"/>
      <c r="Z478" s="548"/>
      <c r="AA478" s="546" t="s">
        <v>512</v>
      </c>
      <c r="AB478" s="547"/>
      <c r="AC478" s="548"/>
      <c r="AD478" s="546" t="s">
        <v>512</v>
      </c>
      <c r="AE478" s="547"/>
      <c r="AF478" s="548"/>
      <c r="AG478" s="546" t="s">
        <v>512</v>
      </c>
      <c r="AH478" s="547"/>
      <c r="AI478" s="548"/>
      <c r="AJ478" s="546" t="s">
        <v>512</v>
      </c>
      <c r="AK478" s="547"/>
      <c r="AL478" s="548"/>
      <c r="AN478" s="114" t="s">
        <v>764</v>
      </c>
      <c r="AO478" s="446">
        <f>SUM(A488:A495)</f>
        <v>54175</v>
      </c>
    </row>
    <row r="479" spans="1:41" x14ac:dyDescent="0.35">
      <c r="A479" s="471">
        <f>SUM(A480:A502)</f>
        <v>132251.59271999999</v>
      </c>
      <c r="B479" s="473" t="s">
        <v>729</v>
      </c>
      <c r="C479" s="466" t="s">
        <v>509</v>
      </c>
      <c r="D479" s="467" t="s">
        <v>15</v>
      </c>
      <c r="E479" s="468" t="s">
        <v>368</v>
      </c>
      <c r="F479" s="466" t="s">
        <v>509</v>
      </c>
      <c r="G479" s="467" t="s">
        <v>15</v>
      </c>
      <c r="H479" s="468" t="s">
        <v>368</v>
      </c>
      <c r="I479" s="466" t="s">
        <v>509</v>
      </c>
      <c r="J479" s="467" t="s">
        <v>15</v>
      </c>
      <c r="K479" s="468" t="s">
        <v>368</v>
      </c>
      <c r="L479" s="466" t="s">
        <v>509</v>
      </c>
      <c r="M479" s="467" t="s">
        <v>15</v>
      </c>
      <c r="N479" s="468" t="s">
        <v>368</v>
      </c>
      <c r="O479" s="466" t="s">
        <v>509</v>
      </c>
      <c r="P479" s="467" t="s">
        <v>15</v>
      </c>
      <c r="Q479" s="468" t="s">
        <v>368</v>
      </c>
      <c r="R479" s="466" t="s">
        <v>509</v>
      </c>
      <c r="S479" s="467" t="s">
        <v>15</v>
      </c>
      <c r="T479" s="468" t="s">
        <v>368</v>
      </c>
      <c r="U479" s="466" t="s">
        <v>509</v>
      </c>
      <c r="V479" s="467" t="s">
        <v>15</v>
      </c>
      <c r="W479" s="468" t="s">
        <v>368</v>
      </c>
      <c r="X479" s="466" t="s">
        <v>509</v>
      </c>
      <c r="Y479" s="467" t="s">
        <v>15</v>
      </c>
      <c r="Z479" s="468" t="s">
        <v>368</v>
      </c>
      <c r="AA479" s="466" t="s">
        <v>509</v>
      </c>
      <c r="AB479" s="467" t="s">
        <v>15</v>
      </c>
      <c r="AC479" s="468" t="s">
        <v>368</v>
      </c>
      <c r="AD479" s="466" t="s">
        <v>509</v>
      </c>
      <c r="AE479" s="467" t="s">
        <v>15</v>
      </c>
      <c r="AF479" s="468" t="s">
        <v>368</v>
      </c>
      <c r="AG479" s="466" t="s">
        <v>509</v>
      </c>
      <c r="AH479" s="467" t="s">
        <v>15</v>
      </c>
      <c r="AI479" s="468" t="s">
        <v>368</v>
      </c>
      <c r="AJ479" s="466" t="s">
        <v>509</v>
      </c>
      <c r="AK479" s="467" t="s">
        <v>15</v>
      </c>
      <c r="AL479" s="468" t="s">
        <v>368</v>
      </c>
    </row>
    <row r="480" spans="1:41" x14ac:dyDescent="0.35">
      <c r="A480" s="471">
        <f t="shared" ref="A480:A500" si="29">SUM(E480,H480,K480,N480,Q480,T480,W480,Z480,AC480,AF480,AI480,AL480)</f>
        <v>360</v>
      </c>
      <c r="B480" s="459" t="s">
        <v>483</v>
      </c>
      <c r="C480" s="457">
        <v>6</v>
      </c>
      <c r="D480" s="460" t="str">
        <f>RevenueStreams!$E$12</f>
        <v>Per Hr</v>
      </c>
      <c r="E480" s="461">
        <f>C480*RevenueStreams!$D$12</f>
        <v>30</v>
      </c>
      <c r="F480" s="457">
        <v>6</v>
      </c>
      <c r="G480" s="460" t="str">
        <f>RevenueStreams!$E$12</f>
        <v>Per Hr</v>
      </c>
      <c r="H480" s="461">
        <f>F480*RevenueStreams!$D$12</f>
        <v>30</v>
      </c>
      <c r="I480" s="457">
        <v>6</v>
      </c>
      <c r="J480" s="460" t="str">
        <f>RevenueStreams!$E$12</f>
        <v>Per Hr</v>
      </c>
      <c r="K480" s="461">
        <f>I480*RevenueStreams!$D$12</f>
        <v>30</v>
      </c>
      <c r="L480" s="457">
        <v>6</v>
      </c>
      <c r="M480" s="456" t="str">
        <f>RevenueStreams!$E$12</f>
        <v>Per Hr</v>
      </c>
      <c r="N480" s="458">
        <f>L480*RevenueStreams!$D$12</f>
        <v>30</v>
      </c>
      <c r="O480" s="457">
        <v>6</v>
      </c>
      <c r="P480" s="456" t="str">
        <f>RevenueStreams!$E$12</f>
        <v>Per Hr</v>
      </c>
      <c r="Q480" s="458">
        <f>O480*RevenueStreams!$D$12</f>
        <v>30</v>
      </c>
      <c r="R480" s="457">
        <v>6</v>
      </c>
      <c r="S480" s="456" t="str">
        <f>RevenueStreams!$E$12</f>
        <v>Per Hr</v>
      </c>
      <c r="T480" s="458">
        <f>R480*RevenueStreams!$D$12</f>
        <v>30</v>
      </c>
      <c r="U480" s="457">
        <v>6</v>
      </c>
      <c r="V480" s="456" t="str">
        <f>RevenueStreams!$E$12</f>
        <v>Per Hr</v>
      </c>
      <c r="W480" s="458">
        <f>U480*RevenueStreams!$D$12</f>
        <v>30</v>
      </c>
      <c r="X480" s="457">
        <v>6</v>
      </c>
      <c r="Y480" s="456" t="str">
        <f>RevenueStreams!$E$12</f>
        <v>Per Hr</v>
      </c>
      <c r="Z480" s="458">
        <f>X480*RevenueStreams!$D$12</f>
        <v>30</v>
      </c>
      <c r="AA480" s="457">
        <v>6</v>
      </c>
      <c r="AB480" s="456" t="str">
        <f>RevenueStreams!$E$12</f>
        <v>Per Hr</v>
      </c>
      <c r="AC480" s="458">
        <f>AA480*RevenueStreams!$D$12</f>
        <v>30</v>
      </c>
      <c r="AD480" s="457">
        <v>6</v>
      </c>
      <c r="AE480" s="456" t="str">
        <f>RevenueStreams!$E$12</f>
        <v>Per Hr</v>
      </c>
      <c r="AF480" s="458">
        <f>AD480*RevenueStreams!$D$12</f>
        <v>30</v>
      </c>
      <c r="AG480" s="457">
        <v>6</v>
      </c>
      <c r="AH480" s="456" t="str">
        <f>RevenueStreams!$E$12</f>
        <v>Per Hr</v>
      </c>
      <c r="AI480" s="458">
        <f>AG480*RevenueStreams!$D$12</f>
        <v>30</v>
      </c>
      <c r="AJ480" s="457">
        <v>6</v>
      </c>
      <c r="AK480" s="456" t="str">
        <f>RevenueStreams!$E$12</f>
        <v>Per Hr</v>
      </c>
      <c r="AL480" s="458">
        <f>AJ480*RevenueStreams!$D$12</f>
        <v>30</v>
      </c>
    </row>
    <row r="481" spans="1:38" x14ac:dyDescent="0.35">
      <c r="A481" s="471">
        <f t="shared" si="29"/>
        <v>2304</v>
      </c>
      <c r="B481" s="459" t="s">
        <v>484</v>
      </c>
      <c r="C481" s="457">
        <v>1</v>
      </c>
      <c r="D481" s="460" t="str">
        <f>RevenueStreams!$E$13</f>
        <v>Per Mo</v>
      </c>
      <c r="E481" s="461">
        <f>C481*RevenueStreams!$D$13</f>
        <v>192</v>
      </c>
      <c r="F481" s="457">
        <v>1</v>
      </c>
      <c r="G481" s="460" t="str">
        <f>RevenueStreams!$E$13</f>
        <v>Per Mo</v>
      </c>
      <c r="H481" s="461">
        <f>F481*RevenueStreams!$D$13</f>
        <v>192</v>
      </c>
      <c r="I481" s="457">
        <v>1</v>
      </c>
      <c r="J481" s="460" t="str">
        <f>RevenueStreams!$E$13</f>
        <v>Per Mo</v>
      </c>
      <c r="K481" s="461">
        <f>I481*RevenueStreams!$D$13</f>
        <v>192</v>
      </c>
      <c r="L481" s="457">
        <v>1</v>
      </c>
      <c r="M481" s="456" t="str">
        <f>RevenueStreams!$E$13</f>
        <v>Per Mo</v>
      </c>
      <c r="N481" s="458">
        <f>L481*RevenueStreams!$D$13</f>
        <v>192</v>
      </c>
      <c r="O481" s="457">
        <v>1</v>
      </c>
      <c r="P481" s="456" t="str">
        <f>RevenueStreams!$E$13</f>
        <v>Per Mo</v>
      </c>
      <c r="Q481" s="458">
        <f>O481*RevenueStreams!$D$13</f>
        <v>192</v>
      </c>
      <c r="R481" s="457">
        <v>1</v>
      </c>
      <c r="S481" s="456" t="str">
        <f>RevenueStreams!$E$13</f>
        <v>Per Mo</v>
      </c>
      <c r="T481" s="458">
        <f>R481*RevenueStreams!$D$13</f>
        <v>192</v>
      </c>
      <c r="U481" s="457">
        <v>1</v>
      </c>
      <c r="V481" s="456" t="str">
        <f>RevenueStreams!$E$13</f>
        <v>Per Mo</v>
      </c>
      <c r="W481" s="458">
        <f>U481*RevenueStreams!$D$13</f>
        <v>192</v>
      </c>
      <c r="X481" s="457">
        <v>1</v>
      </c>
      <c r="Y481" s="456" t="str">
        <f>RevenueStreams!$E$13</f>
        <v>Per Mo</v>
      </c>
      <c r="Z481" s="458">
        <f>X481*RevenueStreams!$D$13</f>
        <v>192</v>
      </c>
      <c r="AA481" s="457">
        <v>1</v>
      </c>
      <c r="AB481" s="456" t="str">
        <f>RevenueStreams!$E$13</f>
        <v>Per Mo</v>
      </c>
      <c r="AC481" s="458">
        <f>AA481*RevenueStreams!$D$13</f>
        <v>192</v>
      </c>
      <c r="AD481" s="457">
        <v>1</v>
      </c>
      <c r="AE481" s="456" t="str">
        <f>RevenueStreams!$E$13</f>
        <v>Per Mo</v>
      </c>
      <c r="AF481" s="458">
        <f>AD481*RevenueStreams!$D$13</f>
        <v>192</v>
      </c>
      <c r="AG481" s="457">
        <v>1</v>
      </c>
      <c r="AH481" s="456" t="str">
        <f>RevenueStreams!$E$13</f>
        <v>Per Mo</v>
      </c>
      <c r="AI481" s="458">
        <f>AG481*RevenueStreams!$D$13</f>
        <v>192</v>
      </c>
      <c r="AJ481" s="457">
        <v>1</v>
      </c>
      <c r="AK481" s="456" t="str">
        <f>RevenueStreams!$E$13</f>
        <v>Per Mo</v>
      </c>
      <c r="AL481" s="458">
        <f>AJ481*RevenueStreams!$D$13</f>
        <v>192</v>
      </c>
    </row>
    <row r="482" spans="1:38" x14ac:dyDescent="0.35">
      <c r="A482" s="471">
        <f t="shared" si="29"/>
        <v>2304</v>
      </c>
      <c r="B482" s="459" t="s">
        <v>485</v>
      </c>
      <c r="C482" s="457">
        <v>1</v>
      </c>
      <c r="D482" s="460" t="str">
        <f>RevenueStreams!$E$14</f>
        <v>Per Mo</v>
      </c>
      <c r="E482" s="461">
        <f>C482*RevenueStreams!$D$14</f>
        <v>192</v>
      </c>
      <c r="F482" s="457">
        <v>1</v>
      </c>
      <c r="G482" s="460" t="str">
        <f>RevenueStreams!$E$14</f>
        <v>Per Mo</v>
      </c>
      <c r="H482" s="461">
        <f>F482*RevenueStreams!$D$14</f>
        <v>192</v>
      </c>
      <c r="I482" s="457">
        <v>1</v>
      </c>
      <c r="J482" s="460" t="str">
        <f>RevenueStreams!$E$14</f>
        <v>Per Mo</v>
      </c>
      <c r="K482" s="461">
        <f>I482*RevenueStreams!$D$14</f>
        <v>192</v>
      </c>
      <c r="L482" s="457">
        <v>1</v>
      </c>
      <c r="M482" s="460" t="str">
        <f>RevenueStreams!$E$14</f>
        <v>Per Mo</v>
      </c>
      <c r="N482" s="461">
        <f>L482*RevenueStreams!$D$14</f>
        <v>192</v>
      </c>
      <c r="O482" s="457">
        <v>1</v>
      </c>
      <c r="P482" s="460" t="str">
        <f>RevenueStreams!$E$14</f>
        <v>Per Mo</v>
      </c>
      <c r="Q482" s="461">
        <f>O482*RevenueStreams!$D$14</f>
        <v>192</v>
      </c>
      <c r="R482" s="457">
        <v>1</v>
      </c>
      <c r="S482" s="460" t="str">
        <f>RevenueStreams!$E$14</f>
        <v>Per Mo</v>
      </c>
      <c r="T482" s="461">
        <f>R482*RevenueStreams!$D$14</f>
        <v>192</v>
      </c>
      <c r="U482" s="457">
        <v>1</v>
      </c>
      <c r="V482" s="460" t="str">
        <f>RevenueStreams!$E$14</f>
        <v>Per Mo</v>
      </c>
      <c r="W482" s="461">
        <f>U482*RevenueStreams!$D$14</f>
        <v>192</v>
      </c>
      <c r="X482" s="457">
        <v>1</v>
      </c>
      <c r="Y482" s="460" t="str">
        <f>RevenueStreams!$E$14</f>
        <v>Per Mo</v>
      </c>
      <c r="Z482" s="461">
        <f>X482*RevenueStreams!$D$14</f>
        <v>192</v>
      </c>
      <c r="AA482" s="457">
        <v>1</v>
      </c>
      <c r="AB482" s="460" t="str">
        <f>RevenueStreams!$E$14</f>
        <v>Per Mo</v>
      </c>
      <c r="AC482" s="461">
        <f>AA482*RevenueStreams!$D$14</f>
        <v>192</v>
      </c>
      <c r="AD482" s="457">
        <v>1</v>
      </c>
      <c r="AE482" s="460" t="str">
        <f>RevenueStreams!$E$14</f>
        <v>Per Mo</v>
      </c>
      <c r="AF482" s="461">
        <f>AD482*RevenueStreams!$D$14</f>
        <v>192</v>
      </c>
      <c r="AG482" s="457">
        <v>1</v>
      </c>
      <c r="AH482" s="460" t="str">
        <f>RevenueStreams!$E$14</f>
        <v>Per Mo</v>
      </c>
      <c r="AI482" s="461">
        <f>AG482*RevenueStreams!$D$14</f>
        <v>192</v>
      </c>
      <c r="AJ482" s="457">
        <v>1</v>
      </c>
      <c r="AK482" s="460" t="str">
        <f>RevenueStreams!$E$14</f>
        <v>Per Mo</v>
      </c>
      <c r="AL482" s="461">
        <f>AJ482*RevenueStreams!$D$14</f>
        <v>192</v>
      </c>
    </row>
    <row r="483" spans="1:38" x14ac:dyDescent="0.35">
      <c r="A483" s="471">
        <f t="shared" si="29"/>
        <v>2112</v>
      </c>
      <c r="B483" s="459" t="s">
        <v>486</v>
      </c>
      <c r="C483" s="457">
        <v>1</v>
      </c>
      <c r="D483" s="460" t="str">
        <f>RevenueStreams!$E$15</f>
        <v>Per Mo</v>
      </c>
      <c r="E483" s="461">
        <f>C483*RevenueStreams!$D$15</f>
        <v>192</v>
      </c>
      <c r="F483" s="457">
        <v>1</v>
      </c>
      <c r="G483" s="460" t="str">
        <f>RevenueStreams!$E$15</f>
        <v>Per Mo</v>
      </c>
      <c r="H483" s="461">
        <f>F483*RevenueStreams!$D$15</f>
        <v>192</v>
      </c>
      <c r="I483" s="457">
        <v>1</v>
      </c>
      <c r="J483" s="460" t="str">
        <f>RevenueStreams!$E$15</f>
        <v>Per Mo</v>
      </c>
      <c r="K483" s="461">
        <f>I483*RevenueStreams!$D$15</f>
        <v>192</v>
      </c>
      <c r="L483" s="457">
        <v>1</v>
      </c>
      <c r="M483" s="460" t="str">
        <f>RevenueStreams!$E$15</f>
        <v>Per Mo</v>
      </c>
      <c r="N483" s="461">
        <f>L483*RevenueStreams!$D$15</f>
        <v>192</v>
      </c>
      <c r="O483" s="457">
        <v>1</v>
      </c>
      <c r="P483" s="460" t="str">
        <f>RevenueStreams!$E$15</f>
        <v>Per Mo</v>
      </c>
      <c r="Q483" s="461">
        <f>O483*RevenueStreams!$D$15</f>
        <v>192</v>
      </c>
      <c r="R483" s="457">
        <v>1</v>
      </c>
      <c r="S483" s="460" t="str">
        <f>RevenueStreams!$E$15</f>
        <v>Per Mo</v>
      </c>
      <c r="T483" s="461">
        <f>R483*RevenueStreams!$D$15</f>
        <v>192</v>
      </c>
      <c r="U483" s="457">
        <v>1</v>
      </c>
      <c r="V483" s="460" t="str">
        <f>RevenueStreams!$E$15</f>
        <v>Per Mo</v>
      </c>
      <c r="W483" s="461">
        <f>U483*RevenueStreams!$D$15</f>
        <v>192</v>
      </c>
      <c r="X483" s="457">
        <v>1</v>
      </c>
      <c r="Y483" s="460" t="str">
        <f>RevenueStreams!$E$15</f>
        <v>Per Mo</v>
      </c>
      <c r="Z483" s="461">
        <f>X483*RevenueStreams!$D$15</f>
        <v>192</v>
      </c>
      <c r="AA483" s="457">
        <v>1</v>
      </c>
      <c r="AB483" s="460" t="str">
        <f>RevenueStreams!$E$15</f>
        <v>Per Mo</v>
      </c>
      <c r="AC483" s="461">
        <f>AA483*RevenueStreams!$D$15</f>
        <v>192</v>
      </c>
      <c r="AD483" s="457">
        <v>1</v>
      </c>
      <c r="AE483" s="460" t="str">
        <f>RevenueStreams!$E$15</f>
        <v>Per Mo</v>
      </c>
      <c r="AF483" s="461">
        <f>AD483*RevenueStreams!$D$15</f>
        <v>192</v>
      </c>
      <c r="AG483" s="457">
        <v>0</v>
      </c>
      <c r="AH483" s="460" t="str">
        <f>RevenueStreams!$E$15</f>
        <v>Per Mo</v>
      </c>
      <c r="AI483" s="461">
        <f>AG483*RevenueStreams!$D$15</f>
        <v>0</v>
      </c>
      <c r="AJ483" s="457">
        <v>1</v>
      </c>
      <c r="AK483" s="460" t="str">
        <f>RevenueStreams!$E$15</f>
        <v>Per Mo</v>
      </c>
      <c r="AL483" s="461">
        <f>AJ483*RevenueStreams!$D$15</f>
        <v>192</v>
      </c>
    </row>
    <row r="484" spans="1:38" x14ac:dyDescent="0.35">
      <c r="A484" s="471">
        <f t="shared" si="29"/>
        <v>3456</v>
      </c>
      <c r="B484" s="459" t="s">
        <v>530</v>
      </c>
      <c r="C484" s="457">
        <v>1</v>
      </c>
      <c r="D484" s="460" t="str">
        <f>RevenueStreams!$E$16</f>
        <v>Per Mo</v>
      </c>
      <c r="E484" s="461">
        <f>C484*RevenueStreams!$D$16</f>
        <v>288</v>
      </c>
      <c r="F484" s="457">
        <v>1</v>
      </c>
      <c r="G484" s="460" t="str">
        <f>RevenueStreams!$E$16</f>
        <v>Per Mo</v>
      </c>
      <c r="H484" s="461">
        <f>F484*RevenueStreams!$D$16</f>
        <v>288</v>
      </c>
      <c r="I484" s="457">
        <v>1</v>
      </c>
      <c r="J484" s="460" t="str">
        <f>RevenueStreams!$E$16</f>
        <v>Per Mo</v>
      </c>
      <c r="K484" s="461">
        <f>I484*RevenueStreams!$D$16</f>
        <v>288</v>
      </c>
      <c r="L484" s="457">
        <v>1</v>
      </c>
      <c r="M484" s="460" t="str">
        <f>RevenueStreams!$E$16</f>
        <v>Per Mo</v>
      </c>
      <c r="N484" s="461">
        <f>L484*RevenueStreams!$D$16</f>
        <v>288</v>
      </c>
      <c r="O484" s="457">
        <v>1</v>
      </c>
      <c r="P484" s="460" t="str">
        <f>RevenueStreams!$E$16</f>
        <v>Per Mo</v>
      </c>
      <c r="Q484" s="461">
        <f>O484*RevenueStreams!$D$16</f>
        <v>288</v>
      </c>
      <c r="R484" s="457">
        <v>1</v>
      </c>
      <c r="S484" s="460" t="str">
        <f>RevenueStreams!$E$16</f>
        <v>Per Mo</v>
      </c>
      <c r="T484" s="461">
        <f>R484*RevenueStreams!$D$16</f>
        <v>288</v>
      </c>
      <c r="U484" s="457">
        <v>1</v>
      </c>
      <c r="V484" s="460" t="str">
        <f>RevenueStreams!$E$16</f>
        <v>Per Mo</v>
      </c>
      <c r="W484" s="461">
        <f>U484*RevenueStreams!$D$16</f>
        <v>288</v>
      </c>
      <c r="X484" s="457">
        <v>1</v>
      </c>
      <c r="Y484" s="460" t="str">
        <f>RevenueStreams!$E$16</f>
        <v>Per Mo</v>
      </c>
      <c r="Z484" s="461">
        <f>X484*RevenueStreams!$D$16</f>
        <v>288</v>
      </c>
      <c r="AA484" s="457">
        <v>1</v>
      </c>
      <c r="AB484" s="460" t="str">
        <f>RevenueStreams!$E$16</f>
        <v>Per Mo</v>
      </c>
      <c r="AC484" s="461">
        <f>AA484*RevenueStreams!$D$16</f>
        <v>288</v>
      </c>
      <c r="AD484" s="457">
        <v>1</v>
      </c>
      <c r="AE484" s="460" t="str">
        <f>RevenueStreams!$E$16</f>
        <v>Per Mo</v>
      </c>
      <c r="AF484" s="461">
        <f>AD484*RevenueStreams!$D$16</f>
        <v>288</v>
      </c>
      <c r="AG484" s="457">
        <v>1</v>
      </c>
      <c r="AH484" s="460" t="str">
        <f>RevenueStreams!$E$16</f>
        <v>Per Mo</v>
      </c>
      <c r="AI484" s="461">
        <f>AG484*RevenueStreams!$D$16</f>
        <v>288</v>
      </c>
      <c r="AJ484" s="457">
        <v>1</v>
      </c>
      <c r="AK484" s="460" t="str">
        <f>RevenueStreams!$E$16</f>
        <v>Per Mo</v>
      </c>
      <c r="AL484" s="461">
        <f>AJ484*RevenueStreams!$D$16</f>
        <v>288</v>
      </c>
    </row>
    <row r="485" spans="1:38" x14ac:dyDescent="0.35">
      <c r="A485" s="471">
        <f t="shared" si="29"/>
        <v>3456</v>
      </c>
      <c r="B485" s="459" t="s">
        <v>487</v>
      </c>
      <c r="C485" s="457">
        <v>1</v>
      </c>
      <c r="D485" s="460" t="str">
        <f>RevenueStreams!$E$17</f>
        <v>Per Mo</v>
      </c>
      <c r="E485" s="461">
        <f>C485*RevenueStreams!$D$17</f>
        <v>288</v>
      </c>
      <c r="F485" s="457">
        <v>1</v>
      </c>
      <c r="G485" s="460" t="str">
        <f>RevenueStreams!$E$17</f>
        <v>Per Mo</v>
      </c>
      <c r="H485" s="461">
        <f>F485*RevenueStreams!$D$17</f>
        <v>288</v>
      </c>
      <c r="I485" s="457">
        <v>1</v>
      </c>
      <c r="J485" s="460" t="str">
        <f>RevenueStreams!$E$17</f>
        <v>Per Mo</v>
      </c>
      <c r="K485" s="461">
        <f>I485*RevenueStreams!$D$17</f>
        <v>288</v>
      </c>
      <c r="L485" s="457">
        <v>1</v>
      </c>
      <c r="M485" s="460" t="str">
        <f>RevenueStreams!$E$17</f>
        <v>Per Mo</v>
      </c>
      <c r="N485" s="461">
        <f>L485*RevenueStreams!$D$17</f>
        <v>288</v>
      </c>
      <c r="O485" s="457">
        <v>1</v>
      </c>
      <c r="P485" s="460" t="str">
        <f>RevenueStreams!$E$17</f>
        <v>Per Mo</v>
      </c>
      <c r="Q485" s="461">
        <f>O485*RevenueStreams!$D$17</f>
        <v>288</v>
      </c>
      <c r="R485" s="457">
        <v>1</v>
      </c>
      <c r="S485" s="460" t="str">
        <f>RevenueStreams!$E$17</f>
        <v>Per Mo</v>
      </c>
      <c r="T485" s="461">
        <f>R485*RevenueStreams!$D$17</f>
        <v>288</v>
      </c>
      <c r="U485" s="457">
        <v>1</v>
      </c>
      <c r="V485" s="460" t="str">
        <f>RevenueStreams!$E$17</f>
        <v>Per Mo</v>
      </c>
      <c r="W485" s="461">
        <f>U485*RevenueStreams!$D$17</f>
        <v>288</v>
      </c>
      <c r="X485" s="457">
        <v>1</v>
      </c>
      <c r="Y485" s="460" t="str">
        <f>RevenueStreams!$E$17</f>
        <v>Per Mo</v>
      </c>
      <c r="Z485" s="461">
        <f>X485*RevenueStreams!$D$17</f>
        <v>288</v>
      </c>
      <c r="AA485" s="457">
        <v>1</v>
      </c>
      <c r="AB485" s="460" t="str">
        <f>RevenueStreams!$E$17</f>
        <v>Per Mo</v>
      </c>
      <c r="AC485" s="461">
        <f>AA485*RevenueStreams!$D$17</f>
        <v>288</v>
      </c>
      <c r="AD485" s="457">
        <v>1</v>
      </c>
      <c r="AE485" s="460" t="str">
        <f>RevenueStreams!$E$17</f>
        <v>Per Mo</v>
      </c>
      <c r="AF485" s="461">
        <f>AD485*RevenueStreams!$D$17</f>
        <v>288</v>
      </c>
      <c r="AG485" s="457">
        <v>1</v>
      </c>
      <c r="AH485" s="460" t="str">
        <f>RevenueStreams!$E$17</f>
        <v>Per Mo</v>
      </c>
      <c r="AI485" s="461">
        <f>AG485*RevenueStreams!$D$17</f>
        <v>288</v>
      </c>
      <c r="AJ485" s="457">
        <v>1</v>
      </c>
      <c r="AK485" s="460" t="str">
        <f>RevenueStreams!$E$17</f>
        <v>Per Mo</v>
      </c>
      <c r="AL485" s="461">
        <f>AJ485*RevenueStreams!$D$17</f>
        <v>288</v>
      </c>
    </row>
    <row r="486" spans="1:38" x14ac:dyDescent="0.35">
      <c r="A486" s="471">
        <f t="shared" si="29"/>
        <v>3168</v>
      </c>
      <c r="B486" s="459" t="s">
        <v>488</v>
      </c>
      <c r="C486" s="457">
        <v>1</v>
      </c>
      <c r="D486" s="460" t="str">
        <f>RevenueStreams!$E$18</f>
        <v>Per Mo</v>
      </c>
      <c r="E486" s="461">
        <f>C486*RevenueStreams!$D$18</f>
        <v>288</v>
      </c>
      <c r="F486" s="457">
        <v>1</v>
      </c>
      <c r="G486" s="460" t="str">
        <f>RevenueStreams!$E$18</f>
        <v>Per Mo</v>
      </c>
      <c r="H486" s="461">
        <f>F486*RevenueStreams!$D$18</f>
        <v>288</v>
      </c>
      <c r="I486" s="457">
        <v>1</v>
      </c>
      <c r="J486" s="460" t="str">
        <f>RevenueStreams!$E$18</f>
        <v>Per Mo</v>
      </c>
      <c r="K486" s="461">
        <f>I486*RevenueStreams!$D$18</f>
        <v>288</v>
      </c>
      <c r="L486" s="457">
        <v>1</v>
      </c>
      <c r="M486" s="460" t="str">
        <f>RevenueStreams!$E$18</f>
        <v>Per Mo</v>
      </c>
      <c r="N486" s="461">
        <f>L486*RevenueStreams!$D$18</f>
        <v>288</v>
      </c>
      <c r="O486" s="457">
        <v>1</v>
      </c>
      <c r="P486" s="460" t="str">
        <f>RevenueStreams!$E$18</f>
        <v>Per Mo</v>
      </c>
      <c r="Q486" s="461">
        <f>O486*RevenueStreams!$D$18</f>
        <v>288</v>
      </c>
      <c r="R486" s="457">
        <v>1</v>
      </c>
      <c r="S486" s="460" t="str">
        <f>RevenueStreams!$E$18</f>
        <v>Per Mo</v>
      </c>
      <c r="T486" s="461">
        <f>R486*RevenueStreams!$D$18</f>
        <v>288</v>
      </c>
      <c r="U486" s="457">
        <v>1</v>
      </c>
      <c r="V486" s="460" t="str">
        <f>RevenueStreams!$E$18</f>
        <v>Per Mo</v>
      </c>
      <c r="W486" s="461">
        <f>U486*RevenueStreams!$D$18</f>
        <v>288</v>
      </c>
      <c r="X486" s="457">
        <v>1</v>
      </c>
      <c r="Y486" s="460" t="str">
        <f>RevenueStreams!$E$18</f>
        <v>Per Mo</v>
      </c>
      <c r="Z486" s="461">
        <f>X486*RevenueStreams!$D$18</f>
        <v>288</v>
      </c>
      <c r="AA486" s="457">
        <v>1</v>
      </c>
      <c r="AB486" s="460" t="str">
        <f>RevenueStreams!$E$18</f>
        <v>Per Mo</v>
      </c>
      <c r="AC486" s="461">
        <f>AA486*RevenueStreams!$D$18</f>
        <v>288</v>
      </c>
      <c r="AD486" s="457">
        <v>1</v>
      </c>
      <c r="AE486" s="460" t="str">
        <f>RevenueStreams!$E$18</f>
        <v>Per Mo</v>
      </c>
      <c r="AF486" s="461">
        <f>AD486*RevenueStreams!$D$18</f>
        <v>288</v>
      </c>
      <c r="AG486" s="457">
        <v>0</v>
      </c>
      <c r="AH486" s="460" t="str">
        <f>RevenueStreams!$E$18</f>
        <v>Per Mo</v>
      </c>
      <c r="AI486" s="461">
        <f>AG486*RevenueStreams!$D$18</f>
        <v>0</v>
      </c>
      <c r="AJ486" s="457">
        <v>1</v>
      </c>
      <c r="AK486" s="460" t="str">
        <f>RevenueStreams!$E$18</f>
        <v>Per Mo</v>
      </c>
      <c r="AL486" s="461">
        <f>AJ486*RevenueStreams!$D$18</f>
        <v>288</v>
      </c>
    </row>
    <row r="487" spans="1:38" x14ac:dyDescent="0.35">
      <c r="A487" s="471">
        <f t="shared" si="29"/>
        <v>6912</v>
      </c>
      <c r="B487" s="459" t="s">
        <v>489</v>
      </c>
      <c r="C487" s="457">
        <v>1</v>
      </c>
      <c r="D487" s="460" t="str">
        <f>RevenueStreams!$E$19</f>
        <v>Per Mo</v>
      </c>
      <c r="E487" s="461">
        <f>C487*RevenueStreams!$D$19</f>
        <v>576</v>
      </c>
      <c r="F487" s="457">
        <v>1</v>
      </c>
      <c r="G487" s="460" t="str">
        <f>RevenueStreams!$E$19</f>
        <v>Per Mo</v>
      </c>
      <c r="H487" s="461">
        <f>F487*RevenueStreams!$D$19</f>
        <v>576</v>
      </c>
      <c r="I487" s="457">
        <v>1</v>
      </c>
      <c r="J487" s="460" t="str">
        <f>RevenueStreams!$E$19</f>
        <v>Per Mo</v>
      </c>
      <c r="K487" s="461">
        <f>I487*RevenueStreams!$D$19</f>
        <v>576</v>
      </c>
      <c r="L487" s="457">
        <v>1</v>
      </c>
      <c r="M487" s="460" t="str">
        <f>RevenueStreams!$E$19</f>
        <v>Per Mo</v>
      </c>
      <c r="N487" s="461">
        <f>L487*RevenueStreams!$D$19</f>
        <v>576</v>
      </c>
      <c r="O487" s="457">
        <v>1</v>
      </c>
      <c r="P487" s="460" t="str">
        <f>RevenueStreams!$E$19</f>
        <v>Per Mo</v>
      </c>
      <c r="Q487" s="461">
        <f>O487*RevenueStreams!$D$19</f>
        <v>576</v>
      </c>
      <c r="R487" s="457">
        <v>1</v>
      </c>
      <c r="S487" s="460" t="str">
        <f>RevenueStreams!$E$19</f>
        <v>Per Mo</v>
      </c>
      <c r="T487" s="461">
        <f>R487*RevenueStreams!$D$19</f>
        <v>576</v>
      </c>
      <c r="U487" s="457">
        <v>1</v>
      </c>
      <c r="V487" s="460" t="str">
        <f>RevenueStreams!$E$19</f>
        <v>Per Mo</v>
      </c>
      <c r="W487" s="461">
        <f>U487*RevenueStreams!$D$19</f>
        <v>576</v>
      </c>
      <c r="X487" s="457">
        <v>1</v>
      </c>
      <c r="Y487" s="460" t="str">
        <f>RevenueStreams!$E$19</f>
        <v>Per Mo</v>
      </c>
      <c r="Z487" s="461">
        <f>X487*RevenueStreams!$D$19</f>
        <v>576</v>
      </c>
      <c r="AA487" s="457">
        <v>1</v>
      </c>
      <c r="AB487" s="460" t="str">
        <f>RevenueStreams!$E$19</f>
        <v>Per Mo</v>
      </c>
      <c r="AC487" s="461">
        <f>AA487*RevenueStreams!$D$19</f>
        <v>576</v>
      </c>
      <c r="AD487" s="457">
        <v>1</v>
      </c>
      <c r="AE487" s="460" t="str">
        <f>RevenueStreams!$E$19</f>
        <v>Per Mo</v>
      </c>
      <c r="AF487" s="461">
        <f>AD487*RevenueStreams!$D$19</f>
        <v>576</v>
      </c>
      <c r="AG487" s="457">
        <v>1</v>
      </c>
      <c r="AH487" s="460" t="str">
        <f>RevenueStreams!$E$19</f>
        <v>Per Mo</v>
      </c>
      <c r="AI487" s="461">
        <f>AG487*RevenueStreams!$D$19</f>
        <v>576</v>
      </c>
      <c r="AJ487" s="457">
        <v>1</v>
      </c>
      <c r="AK487" s="460" t="str">
        <f>RevenueStreams!$E$19</f>
        <v>Per Mo</v>
      </c>
      <c r="AL487" s="461">
        <f>AJ487*RevenueStreams!$D$19</f>
        <v>576</v>
      </c>
    </row>
    <row r="488" spans="1:38" x14ac:dyDescent="0.35">
      <c r="A488" s="471">
        <f t="shared" si="29"/>
        <v>4000</v>
      </c>
      <c r="B488" s="459" t="s">
        <v>496</v>
      </c>
      <c r="C488" s="457">
        <f>1*8*2</f>
        <v>16</v>
      </c>
      <c r="D488" s="460" t="str">
        <f>RevenueStreams!$E$20</f>
        <v>Per  Hr</v>
      </c>
      <c r="E488" s="461">
        <f>C488*RevenueStreams!$D$20</f>
        <v>400</v>
      </c>
      <c r="F488" s="457">
        <f>1*8*2</f>
        <v>16</v>
      </c>
      <c r="G488" s="460" t="str">
        <f>RevenueStreams!$E$20</f>
        <v>Per  Hr</v>
      </c>
      <c r="H488" s="461">
        <f>F488*RevenueStreams!$D$20</f>
        <v>400</v>
      </c>
      <c r="I488" s="457">
        <f>1*8*2</f>
        <v>16</v>
      </c>
      <c r="J488" s="460" t="str">
        <f>RevenueStreams!$E$20</f>
        <v>Per  Hr</v>
      </c>
      <c r="K488" s="461">
        <f>I488*RevenueStreams!$D$20</f>
        <v>400</v>
      </c>
      <c r="L488" s="457">
        <f>1*8*2</f>
        <v>16</v>
      </c>
      <c r="M488" s="460" t="str">
        <f>RevenueStreams!$E$20</f>
        <v>Per  Hr</v>
      </c>
      <c r="N488" s="461">
        <f>L488*RevenueStreams!$D$20</f>
        <v>400</v>
      </c>
      <c r="O488" s="457">
        <f>1*8*2</f>
        <v>16</v>
      </c>
      <c r="P488" s="460" t="str">
        <f>RevenueStreams!$E$20</f>
        <v>Per  Hr</v>
      </c>
      <c r="Q488" s="461">
        <f>O488*RevenueStreams!$D$20</f>
        <v>400</v>
      </c>
      <c r="R488" s="457">
        <f>1*8*2</f>
        <v>16</v>
      </c>
      <c r="S488" s="460" t="str">
        <f>RevenueStreams!$E$20</f>
        <v>Per  Hr</v>
      </c>
      <c r="T488" s="461">
        <f>R488*RevenueStreams!$D$20</f>
        <v>400</v>
      </c>
      <c r="U488" s="457">
        <f>1*8*2</f>
        <v>16</v>
      </c>
      <c r="V488" s="460" t="str">
        <f>RevenueStreams!$E$20</f>
        <v>Per  Hr</v>
      </c>
      <c r="W488" s="461">
        <f>U488*RevenueStreams!$D$20</f>
        <v>400</v>
      </c>
      <c r="X488" s="457">
        <f>1*8*2</f>
        <v>16</v>
      </c>
      <c r="Y488" s="460" t="str">
        <f>RevenueStreams!$E$20</f>
        <v>Per  Hr</v>
      </c>
      <c r="Z488" s="461">
        <f>X488*RevenueStreams!$D$20</f>
        <v>400</v>
      </c>
      <c r="AA488" s="457">
        <f>1*8*1</f>
        <v>8</v>
      </c>
      <c r="AB488" s="460" t="str">
        <f>RevenueStreams!$E$20</f>
        <v>Per  Hr</v>
      </c>
      <c r="AC488" s="461">
        <f>AA488*RevenueStreams!$D$20</f>
        <v>200</v>
      </c>
      <c r="AD488" s="457">
        <f>1*8*1</f>
        <v>8</v>
      </c>
      <c r="AE488" s="460" t="str">
        <f>RevenueStreams!$E$20</f>
        <v>Per  Hr</v>
      </c>
      <c r="AF488" s="461">
        <f>AD488*RevenueStreams!$D$20</f>
        <v>200</v>
      </c>
      <c r="AG488" s="457">
        <f>1*8*1</f>
        <v>8</v>
      </c>
      <c r="AH488" s="460" t="str">
        <f>RevenueStreams!$E$20</f>
        <v>Per  Hr</v>
      </c>
      <c r="AI488" s="461">
        <f>AG488*RevenueStreams!$D$20</f>
        <v>200</v>
      </c>
      <c r="AJ488" s="457">
        <f>1*8*1</f>
        <v>8</v>
      </c>
      <c r="AK488" s="460" t="str">
        <f>RevenueStreams!$E$20</f>
        <v>Per  Hr</v>
      </c>
      <c r="AL488" s="461">
        <f>AJ488*RevenueStreams!$D$20</f>
        <v>200</v>
      </c>
    </row>
    <row r="489" spans="1:38" x14ac:dyDescent="0.35">
      <c r="A489" s="471">
        <f t="shared" si="29"/>
        <v>0</v>
      </c>
      <c r="B489" s="459" t="s">
        <v>497</v>
      </c>
      <c r="C489" s="457">
        <v>0</v>
      </c>
      <c r="D489" s="460" t="str">
        <f>RevenueStreams!$E$21</f>
        <v>Per  Hr</v>
      </c>
      <c r="E489" s="461">
        <f>C489*RevenueStreams!$D$21</f>
        <v>0</v>
      </c>
      <c r="F489" s="457">
        <v>0</v>
      </c>
      <c r="G489" s="460" t="str">
        <f>RevenueStreams!$E$21</f>
        <v>Per  Hr</v>
      </c>
      <c r="H489" s="461">
        <f>F489*RevenueStreams!$D$21</f>
        <v>0</v>
      </c>
      <c r="I489" s="457">
        <v>0</v>
      </c>
      <c r="J489" s="460" t="str">
        <f>RevenueStreams!$E$21</f>
        <v>Per  Hr</v>
      </c>
      <c r="K489" s="461">
        <f>I489*RevenueStreams!$D$21</f>
        <v>0</v>
      </c>
      <c r="L489" s="457">
        <v>0</v>
      </c>
      <c r="M489" s="460" t="str">
        <f>RevenueStreams!$E$21</f>
        <v>Per  Hr</v>
      </c>
      <c r="N489" s="461">
        <f>L489*RevenueStreams!$D$21</f>
        <v>0</v>
      </c>
      <c r="O489" s="457">
        <v>0</v>
      </c>
      <c r="P489" s="460" t="str">
        <f>RevenueStreams!$E$21</f>
        <v>Per  Hr</v>
      </c>
      <c r="Q489" s="461">
        <f>O489*RevenueStreams!$D$21</f>
        <v>0</v>
      </c>
      <c r="R489" s="457">
        <v>0</v>
      </c>
      <c r="S489" s="460" t="str">
        <f>RevenueStreams!$E$21</f>
        <v>Per  Hr</v>
      </c>
      <c r="T489" s="461">
        <f>R489*RevenueStreams!$D$21</f>
        <v>0</v>
      </c>
      <c r="U489" s="457">
        <v>0</v>
      </c>
      <c r="V489" s="460" t="str">
        <f>RevenueStreams!$E$21</f>
        <v>Per  Hr</v>
      </c>
      <c r="W489" s="461">
        <f>U489*RevenueStreams!$D$21</f>
        <v>0</v>
      </c>
      <c r="X489" s="457">
        <v>0</v>
      </c>
      <c r="Y489" s="460" t="str">
        <f>RevenueStreams!$E$21</f>
        <v>Per  Hr</v>
      </c>
      <c r="Z489" s="461">
        <f>X489*RevenueStreams!$D$21</f>
        <v>0</v>
      </c>
      <c r="AA489" s="457">
        <v>0</v>
      </c>
      <c r="AB489" s="460" t="str">
        <f>RevenueStreams!$E$21</f>
        <v>Per  Hr</v>
      </c>
      <c r="AC489" s="461">
        <f>AA489*RevenueStreams!$D$21</f>
        <v>0</v>
      </c>
      <c r="AD489" s="457">
        <v>0</v>
      </c>
      <c r="AE489" s="460" t="str">
        <f>RevenueStreams!$E$21</f>
        <v>Per  Hr</v>
      </c>
      <c r="AF489" s="461">
        <f>AD489*RevenueStreams!$D$21</f>
        <v>0</v>
      </c>
      <c r="AG489" s="457">
        <v>0</v>
      </c>
      <c r="AH489" s="460" t="str">
        <f>RevenueStreams!$E$21</f>
        <v>Per  Hr</v>
      </c>
      <c r="AI489" s="461">
        <f>AG489*RevenueStreams!$D$21</f>
        <v>0</v>
      </c>
      <c r="AJ489" s="457">
        <v>0</v>
      </c>
      <c r="AK489" s="460" t="str">
        <f>RevenueStreams!$E$21</f>
        <v>Per  Hr</v>
      </c>
      <c r="AL489" s="461">
        <f>AJ489*RevenueStreams!$D$21</f>
        <v>0</v>
      </c>
    </row>
    <row r="490" spans="1:38" x14ac:dyDescent="0.35">
      <c r="A490" s="471">
        <f t="shared" si="29"/>
        <v>0</v>
      </c>
      <c r="B490" s="459" t="s">
        <v>498</v>
      </c>
      <c r="C490" s="457">
        <v>0</v>
      </c>
      <c r="D490" s="460" t="str">
        <f>RevenueStreams!$E$22</f>
        <v>Per  Hr</v>
      </c>
      <c r="E490" s="461">
        <f>C490*RevenueStreams!$D$22</f>
        <v>0</v>
      </c>
      <c r="F490" s="457">
        <v>0</v>
      </c>
      <c r="G490" s="460" t="str">
        <f>RevenueStreams!$E$22</f>
        <v>Per  Hr</v>
      </c>
      <c r="H490" s="461">
        <f>F490*RevenueStreams!$D$22</f>
        <v>0</v>
      </c>
      <c r="I490" s="457">
        <v>0</v>
      </c>
      <c r="J490" s="460" t="str">
        <f>RevenueStreams!$E$22</f>
        <v>Per  Hr</v>
      </c>
      <c r="K490" s="461">
        <f>I490*RevenueStreams!$D$22</f>
        <v>0</v>
      </c>
      <c r="L490" s="457">
        <v>0</v>
      </c>
      <c r="M490" s="460" t="str">
        <f>RevenueStreams!$E$22</f>
        <v>Per  Hr</v>
      </c>
      <c r="N490" s="461">
        <f>L490*RevenueStreams!$D$22</f>
        <v>0</v>
      </c>
      <c r="O490" s="457">
        <v>0</v>
      </c>
      <c r="P490" s="460" t="str">
        <f>RevenueStreams!$E$22</f>
        <v>Per  Hr</v>
      </c>
      <c r="Q490" s="461">
        <f>O490*RevenueStreams!$D$22</f>
        <v>0</v>
      </c>
      <c r="R490" s="457">
        <v>0</v>
      </c>
      <c r="S490" s="460" t="str">
        <f>RevenueStreams!$E$22</f>
        <v>Per  Hr</v>
      </c>
      <c r="T490" s="461">
        <f>R490*RevenueStreams!$D$22</f>
        <v>0</v>
      </c>
      <c r="U490" s="457">
        <v>0</v>
      </c>
      <c r="V490" s="460" t="str">
        <f>RevenueStreams!$E$22</f>
        <v>Per  Hr</v>
      </c>
      <c r="W490" s="461">
        <f>U490*RevenueStreams!$D$22</f>
        <v>0</v>
      </c>
      <c r="X490" s="457">
        <v>0</v>
      </c>
      <c r="Y490" s="460" t="str">
        <f>RevenueStreams!$E$22</f>
        <v>Per  Hr</v>
      </c>
      <c r="Z490" s="461">
        <f>X490*RevenueStreams!$D$22</f>
        <v>0</v>
      </c>
      <c r="AA490" s="457">
        <v>0</v>
      </c>
      <c r="AB490" s="460" t="str">
        <f>RevenueStreams!$E$22</f>
        <v>Per  Hr</v>
      </c>
      <c r="AC490" s="461">
        <f>AA490*RevenueStreams!$D$22</f>
        <v>0</v>
      </c>
      <c r="AD490" s="457">
        <v>0</v>
      </c>
      <c r="AE490" s="460" t="str">
        <f>RevenueStreams!$E$22</f>
        <v>Per  Hr</v>
      </c>
      <c r="AF490" s="461">
        <f>AD490*RevenueStreams!$D$22</f>
        <v>0</v>
      </c>
      <c r="AG490" s="457">
        <v>0</v>
      </c>
      <c r="AH490" s="460" t="str">
        <f>RevenueStreams!$E$22</f>
        <v>Per  Hr</v>
      </c>
      <c r="AI490" s="461">
        <f>AG490*RevenueStreams!$D$22</f>
        <v>0</v>
      </c>
      <c r="AJ490" s="457">
        <v>0</v>
      </c>
      <c r="AK490" s="460" t="str">
        <f>RevenueStreams!$E$22</f>
        <v>Per  Hr</v>
      </c>
      <c r="AL490" s="461">
        <f>AJ490*RevenueStreams!$D$22</f>
        <v>0</v>
      </c>
    </row>
    <row r="491" spans="1:38" x14ac:dyDescent="0.35">
      <c r="A491" s="471">
        <f t="shared" si="29"/>
        <v>5400</v>
      </c>
      <c r="B491" s="459" t="s">
        <v>272</v>
      </c>
      <c r="C491" s="457">
        <v>18</v>
      </c>
      <c r="D491" s="460" t="str">
        <f>RevenueStreams!$E$23</f>
        <v>Per  Pallet</v>
      </c>
      <c r="E491" s="461">
        <f>C491*RevenueStreams!$D$23</f>
        <v>450</v>
      </c>
      <c r="F491" s="457">
        <v>18</v>
      </c>
      <c r="G491" s="460" t="str">
        <f>RevenueStreams!$E$23</f>
        <v>Per  Pallet</v>
      </c>
      <c r="H491" s="461">
        <f>F491*RevenueStreams!$D$23</f>
        <v>450</v>
      </c>
      <c r="I491" s="457">
        <v>18</v>
      </c>
      <c r="J491" s="460" t="str">
        <f>RevenueStreams!$E$23</f>
        <v>Per  Pallet</v>
      </c>
      <c r="K491" s="461">
        <f>I491*RevenueStreams!$D$23</f>
        <v>450</v>
      </c>
      <c r="L491" s="457">
        <v>18</v>
      </c>
      <c r="M491" s="460" t="str">
        <f>RevenueStreams!$E$23</f>
        <v>Per  Pallet</v>
      </c>
      <c r="N491" s="461">
        <f>L491*RevenueStreams!$D$23</f>
        <v>450</v>
      </c>
      <c r="O491" s="457">
        <v>18</v>
      </c>
      <c r="P491" s="460" t="str">
        <f>RevenueStreams!$E$23</f>
        <v>Per  Pallet</v>
      </c>
      <c r="Q491" s="461">
        <f>O491*RevenueStreams!$D$23</f>
        <v>450</v>
      </c>
      <c r="R491" s="457">
        <v>18</v>
      </c>
      <c r="S491" s="460" t="str">
        <f>RevenueStreams!$E$23</f>
        <v>Per  Pallet</v>
      </c>
      <c r="T491" s="461">
        <f>R491*RevenueStreams!$D$23</f>
        <v>450</v>
      </c>
      <c r="U491" s="457">
        <v>18</v>
      </c>
      <c r="V491" s="460" t="str">
        <f>RevenueStreams!$E$23</f>
        <v>Per  Pallet</v>
      </c>
      <c r="W491" s="461">
        <f>U491*RevenueStreams!$D$23</f>
        <v>450</v>
      </c>
      <c r="X491" s="457">
        <v>18</v>
      </c>
      <c r="Y491" s="460" t="str">
        <f>RevenueStreams!$E$23</f>
        <v>Per  Pallet</v>
      </c>
      <c r="Z491" s="461">
        <f>X491*RevenueStreams!$D$23</f>
        <v>450</v>
      </c>
      <c r="AA491" s="457">
        <v>18</v>
      </c>
      <c r="AB491" s="460" t="str">
        <f>RevenueStreams!$E$23</f>
        <v>Per  Pallet</v>
      </c>
      <c r="AC491" s="461">
        <f>AA491*RevenueStreams!$D$23</f>
        <v>450</v>
      </c>
      <c r="AD491" s="457">
        <v>18</v>
      </c>
      <c r="AE491" s="460" t="str">
        <f>RevenueStreams!$E$23</f>
        <v>Per  Pallet</v>
      </c>
      <c r="AF491" s="461">
        <f>AD491*RevenueStreams!$D$23</f>
        <v>450</v>
      </c>
      <c r="AG491" s="457">
        <v>18</v>
      </c>
      <c r="AH491" s="460" t="str">
        <f>RevenueStreams!$E$23</f>
        <v>Per  Pallet</v>
      </c>
      <c r="AI491" s="461">
        <f>AG491*RevenueStreams!$D$23</f>
        <v>450</v>
      </c>
      <c r="AJ491" s="457">
        <v>18</v>
      </c>
      <c r="AK491" s="460" t="str">
        <f>RevenueStreams!$E$23</f>
        <v>Per  Pallet</v>
      </c>
      <c r="AL491" s="461">
        <f>AJ491*RevenueStreams!$D$23</f>
        <v>450</v>
      </c>
    </row>
    <row r="492" spans="1:38" x14ac:dyDescent="0.35">
      <c r="A492" s="471">
        <f t="shared" si="29"/>
        <v>7560</v>
      </c>
      <c r="B492" s="459" t="s">
        <v>490</v>
      </c>
      <c r="C492" s="457">
        <v>18</v>
      </c>
      <c r="D492" s="460" t="str">
        <f>RevenueStreams!$E$24</f>
        <v>Per  Pallet</v>
      </c>
      <c r="E492" s="461">
        <f>C492*RevenueStreams!$D$24</f>
        <v>630</v>
      </c>
      <c r="F492" s="457">
        <v>18</v>
      </c>
      <c r="G492" s="460" t="str">
        <f>RevenueStreams!$E$24</f>
        <v>Per  Pallet</v>
      </c>
      <c r="H492" s="461">
        <f>F492*RevenueStreams!$D$24</f>
        <v>630</v>
      </c>
      <c r="I492" s="457">
        <v>18</v>
      </c>
      <c r="J492" s="460" t="str">
        <f>RevenueStreams!$E$24</f>
        <v>Per  Pallet</v>
      </c>
      <c r="K492" s="461">
        <f>I492*RevenueStreams!$D$24</f>
        <v>630</v>
      </c>
      <c r="L492" s="457">
        <v>18</v>
      </c>
      <c r="M492" s="460" t="str">
        <f>RevenueStreams!$E$24</f>
        <v>Per  Pallet</v>
      </c>
      <c r="N492" s="461">
        <f>L492*RevenueStreams!$D$24</f>
        <v>630</v>
      </c>
      <c r="O492" s="457">
        <v>18</v>
      </c>
      <c r="P492" s="460" t="str">
        <f>RevenueStreams!$E$24</f>
        <v>Per  Pallet</v>
      </c>
      <c r="Q492" s="461">
        <f>O492*RevenueStreams!$D$24</f>
        <v>630</v>
      </c>
      <c r="R492" s="457">
        <v>18</v>
      </c>
      <c r="S492" s="460" t="str">
        <f>RevenueStreams!$E$24</f>
        <v>Per  Pallet</v>
      </c>
      <c r="T492" s="461">
        <f>R492*RevenueStreams!$D$24</f>
        <v>630</v>
      </c>
      <c r="U492" s="457">
        <v>18</v>
      </c>
      <c r="V492" s="460" t="str">
        <f>RevenueStreams!$E$24</f>
        <v>Per  Pallet</v>
      </c>
      <c r="W492" s="461">
        <f>U492*RevenueStreams!$D$24</f>
        <v>630</v>
      </c>
      <c r="X492" s="457">
        <v>18</v>
      </c>
      <c r="Y492" s="460" t="str">
        <f>RevenueStreams!$E$24</f>
        <v>Per  Pallet</v>
      </c>
      <c r="Z492" s="461">
        <f>X492*RevenueStreams!$D$24</f>
        <v>630</v>
      </c>
      <c r="AA492" s="457">
        <v>18</v>
      </c>
      <c r="AB492" s="460" t="str">
        <f>RevenueStreams!$E$24</f>
        <v>Per  Pallet</v>
      </c>
      <c r="AC492" s="461">
        <f>AA492*RevenueStreams!$D$24</f>
        <v>630</v>
      </c>
      <c r="AD492" s="457">
        <v>18</v>
      </c>
      <c r="AE492" s="460" t="str">
        <f>RevenueStreams!$E$24</f>
        <v>Per  Pallet</v>
      </c>
      <c r="AF492" s="461">
        <f>AD492*RevenueStreams!$D$24</f>
        <v>630</v>
      </c>
      <c r="AG492" s="457">
        <v>18</v>
      </c>
      <c r="AH492" s="460" t="str">
        <f>RevenueStreams!$E$24</f>
        <v>Per  Pallet</v>
      </c>
      <c r="AI492" s="461">
        <f>AG492*RevenueStreams!$D$24</f>
        <v>630</v>
      </c>
      <c r="AJ492" s="457">
        <v>18</v>
      </c>
      <c r="AK492" s="460" t="str">
        <f>RevenueStreams!$E$24</f>
        <v>Per  Pallet</v>
      </c>
      <c r="AL492" s="461">
        <f>AJ492*RevenueStreams!$D$24</f>
        <v>630</v>
      </c>
    </row>
    <row r="493" spans="1:38" x14ac:dyDescent="0.35">
      <c r="A493" s="471">
        <f t="shared" si="29"/>
        <v>14175</v>
      </c>
      <c r="B493" s="459" t="s">
        <v>491</v>
      </c>
      <c r="C493" s="457">
        <v>18</v>
      </c>
      <c r="D493" s="460" t="str">
        <f>RevenueStreams!$E$25</f>
        <v>Per  Pallet</v>
      </c>
      <c r="E493" s="461">
        <f>C493*RevenueStreams!$D$25</f>
        <v>810</v>
      </c>
      <c r="F493" s="457">
        <v>27</v>
      </c>
      <c r="G493" s="460" t="str">
        <f>RevenueStreams!$E$25</f>
        <v>Per  Pallet</v>
      </c>
      <c r="H493" s="461">
        <f>F493*RevenueStreams!$D$25</f>
        <v>1215</v>
      </c>
      <c r="I493" s="457">
        <v>27</v>
      </c>
      <c r="J493" s="460" t="str">
        <f>RevenueStreams!$E$25</f>
        <v>Per  Pallet</v>
      </c>
      <c r="K493" s="461">
        <f>I493*RevenueStreams!$D$25</f>
        <v>1215</v>
      </c>
      <c r="L493" s="457">
        <v>27</v>
      </c>
      <c r="M493" s="460" t="str">
        <f>RevenueStreams!$E$25</f>
        <v>Per  Pallet</v>
      </c>
      <c r="N493" s="461">
        <f>L493*RevenueStreams!$D$25</f>
        <v>1215</v>
      </c>
      <c r="O493" s="457">
        <v>27</v>
      </c>
      <c r="P493" s="460" t="str">
        <f>RevenueStreams!$E$25</f>
        <v>Per  Pallet</v>
      </c>
      <c r="Q493" s="461">
        <f>O493*RevenueStreams!$D$25</f>
        <v>1215</v>
      </c>
      <c r="R493" s="457">
        <v>27</v>
      </c>
      <c r="S493" s="460" t="str">
        <f>RevenueStreams!$E$25</f>
        <v>Per  Pallet</v>
      </c>
      <c r="T493" s="461">
        <f>R493*RevenueStreams!$D$25</f>
        <v>1215</v>
      </c>
      <c r="U493" s="457">
        <v>27</v>
      </c>
      <c r="V493" s="460" t="str">
        <f>RevenueStreams!$E$25</f>
        <v>Per  Pallet</v>
      </c>
      <c r="W493" s="461">
        <f>U493*RevenueStreams!$D$25</f>
        <v>1215</v>
      </c>
      <c r="X493" s="457">
        <v>27</v>
      </c>
      <c r="Y493" s="460" t="str">
        <f>RevenueStreams!$E$25</f>
        <v>Per  Pallet</v>
      </c>
      <c r="Z493" s="461">
        <f>X493*RevenueStreams!$D$25</f>
        <v>1215</v>
      </c>
      <c r="AA493" s="457">
        <v>27</v>
      </c>
      <c r="AB493" s="460" t="str">
        <f>RevenueStreams!$E$25</f>
        <v>Per  Pallet</v>
      </c>
      <c r="AC493" s="461">
        <f>AA493*RevenueStreams!$D$25</f>
        <v>1215</v>
      </c>
      <c r="AD493" s="457">
        <v>27</v>
      </c>
      <c r="AE493" s="460" t="str">
        <f>RevenueStreams!$E$25</f>
        <v>Per  Pallet</v>
      </c>
      <c r="AF493" s="461">
        <f>AD493*RevenueStreams!$D$25</f>
        <v>1215</v>
      </c>
      <c r="AG493" s="457">
        <v>27</v>
      </c>
      <c r="AH493" s="460" t="str">
        <f>RevenueStreams!$E$25</f>
        <v>Per  Pallet</v>
      </c>
      <c r="AI493" s="461">
        <f>AG493*RevenueStreams!$D$25</f>
        <v>1215</v>
      </c>
      <c r="AJ493" s="457">
        <v>27</v>
      </c>
      <c r="AK493" s="460" t="str">
        <f>RevenueStreams!$E$25</f>
        <v>Per  Pallet</v>
      </c>
      <c r="AL493" s="461">
        <f>AJ493*RevenueStreams!$D$25</f>
        <v>1215</v>
      </c>
    </row>
    <row r="494" spans="1:38" x14ac:dyDescent="0.35">
      <c r="A494" s="471">
        <f t="shared" si="29"/>
        <v>11520</v>
      </c>
      <c r="B494" s="459" t="s">
        <v>519</v>
      </c>
      <c r="C494" s="457">
        <f>3*8*4</f>
        <v>96</v>
      </c>
      <c r="D494" s="460" t="str">
        <f>RevenueStreams!$E$26</f>
        <v>Per Hr</v>
      </c>
      <c r="E494" s="461">
        <f>C494*RevenueStreams!$D$26</f>
        <v>960</v>
      </c>
      <c r="F494" s="457">
        <f>3*8*4</f>
        <v>96</v>
      </c>
      <c r="G494" s="460" t="str">
        <f>RevenueStreams!$E$26</f>
        <v>Per Hr</v>
      </c>
      <c r="H494" s="461">
        <f>F494*RevenueStreams!$D$26</f>
        <v>960</v>
      </c>
      <c r="I494" s="457">
        <f>3*8*4</f>
        <v>96</v>
      </c>
      <c r="J494" s="460" t="str">
        <f>RevenueStreams!$E$26</f>
        <v>Per Hr</v>
      </c>
      <c r="K494" s="461">
        <f>I494*RevenueStreams!$D$26</f>
        <v>960</v>
      </c>
      <c r="L494" s="457">
        <f>3*8*4</f>
        <v>96</v>
      </c>
      <c r="M494" s="460" t="str">
        <f>RevenueStreams!$E$26</f>
        <v>Per Hr</v>
      </c>
      <c r="N494" s="461">
        <f>L494*RevenueStreams!$D$26</f>
        <v>960</v>
      </c>
      <c r="O494" s="457">
        <f>3*8*4</f>
        <v>96</v>
      </c>
      <c r="P494" s="460" t="str">
        <f>RevenueStreams!$E$26</f>
        <v>Per Hr</v>
      </c>
      <c r="Q494" s="461">
        <f>O494*RevenueStreams!$D$26</f>
        <v>960</v>
      </c>
      <c r="R494" s="457">
        <f>3*8*4</f>
        <v>96</v>
      </c>
      <c r="S494" s="460" t="str">
        <f>RevenueStreams!$E$26</f>
        <v>Per Hr</v>
      </c>
      <c r="T494" s="461">
        <f>R494*RevenueStreams!$D$26</f>
        <v>960</v>
      </c>
      <c r="U494" s="457">
        <f>3*8*4</f>
        <v>96</v>
      </c>
      <c r="V494" s="460" t="str">
        <f>RevenueStreams!$E$26</f>
        <v>Per Hr</v>
      </c>
      <c r="W494" s="461">
        <f>U494*RevenueStreams!$D$26</f>
        <v>960</v>
      </c>
      <c r="X494" s="457">
        <f>3*8*4</f>
        <v>96</v>
      </c>
      <c r="Y494" s="460" t="str">
        <f>RevenueStreams!$E$26</f>
        <v>Per Hr</v>
      </c>
      <c r="Z494" s="461">
        <f>X494*RevenueStreams!$D$26</f>
        <v>960</v>
      </c>
      <c r="AA494" s="457">
        <f>3*8*4</f>
        <v>96</v>
      </c>
      <c r="AB494" s="460" t="str">
        <f>RevenueStreams!$E$26</f>
        <v>Per Hr</v>
      </c>
      <c r="AC494" s="461">
        <f>AA494*RevenueStreams!$D$26</f>
        <v>960</v>
      </c>
      <c r="AD494" s="457">
        <f>3*8*4</f>
        <v>96</v>
      </c>
      <c r="AE494" s="460" t="str">
        <f>RevenueStreams!$E$26</f>
        <v>Per Hr</v>
      </c>
      <c r="AF494" s="461">
        <f>AD494*RevenueStreams!$D$26</f>
        <v>960</v>
      </c>
      <c r="AG494" s="457">
        <f>3*8*4</f>
        <v>96</v>
      </c>
      <c r="AH494" s="460" t="str">
        <f>RevenueStreams!$E$26</f>
        <v>Per Hr</v>
      </c>
      <c r="AI494" s="461">
        <f>AG494*RevenueStreams!$D$26</f>
        <v>960</v>
      </c>
      <c r="AJ494" s="457">
        <f>3*8*4</f>
        <v>96</v>
      </c>
      <c r="AK494" s="460" t="str">
        <f>RevenueStreams!$E$26</f>
        <v>Per Hr</v>
      </c>
      <c r="AL494" s="461">
        <f>AJ494*RevenueStreams!$D$26</f>
        <v>960</v>
      </c>
    </row>
    <row r="495" spans="1:38" x14ac:dyDescent="0.35">
      <c r="A495" s="471">
        <f t="shared" si="29"/>
        <v>11520</v>
      </c>
      <c r="B495" s="459" t="s">
        <v>492</v>
      </c>
      <c r="C495" s="457">
        <f>3*8*4</f>
        <v>96</v>
      </c>
      <c r="D495" s="460" t="str">
        <f>RevenueStreams!$E$27</f>
        <v>Per Hr</v>
      </c>
      <c r="E495" s="461">
        <f>C495*RevenueStreams!$D$27</f>
        <v>960</v>
      </c>
      <c r="F495" s="457">
        <f>3*8*4</f>
        <v>96</v>
      </c>
      <c r="G495" s="460" t="str">
        <f>RevenueStreams!$E$27</f>
        <v>Per Hr</v>
      </c>
      <c r="H495" s="461">
        <f>F495*RevenueStreams!$D$27</f>
        <v>960</v>
      </c>
      <c r="I495" s="457">
        <f>3*8*4</f>
        <v>96</v>
      </c>
      <c r="J495" s="460" t="str">
        <f>RevenueStreams!$E$27</f>
        <v>Per Hr</v>
      </c>
      <c r="K495" s="461">
        <f>I495*RevenueStreams!$D$27</f>
        <v>960</v>
      </c>
      <c r="L495" s="457">
        <f>3*8*4</f>
        <v>96</v>
      </c>
      <c r="M495" s="460" t="str">
        <f>RevenueStreams!$E$27</f>
        <v>Per Hr</v>
      </c>
      <c r="N495" s="461">
        <f>L495*RevenueStreams!$D$27</f>
        <v>960</v>
      </c>
      <c r="O495" s="457">
        <f>3*8*4</f>
        <v>96</v>
      </c>
      <c r="P495" s="460" t="str">
        <f>RevenueStreams!$E$27</f>
        <v>Per Hr</v>
      </c>
      <c r="Q495" s="461">
        <f>O495*RevenueStreams!$D$27</f>
        <v>960</v>
      </c>
      <c r="R495" s="457">
        <f>3*8*4</f>
        <v>96</v>
      </c>
      <c r="S495" s="460" t="str">
        <f>RevenueStreams!$E$27</f>
        <v>Per Hr</v>
      </c>
      <c r="T495" s="461">
        <f>R495*RevenueStreams!$D$27</f>
        <v>960</v>
      </c>
      <c r="U495" s="457">
        <f>3*8*4</f>
        <v>96</v>
      </c>
      <c r="V495" s="460" t="str">
        <f>RevenueStreams!$E$27</f>
        <v>Per Hr</v>
      </c>
      <c r="W495" s="461">
        <f>U495*RevenueStreams!$D$27</f>
        <v>960</v>
      </c>
      <c r="X495" s="457">
        <f>3*8*4</f>
        <v>96</v>
      </c>
      <c r="Y495" s="460" t="str">
        <f>RevenueStreams!$E$27</f>
        <v>Per Hr</v>
      </c>
      <c r="Z495" s="461">
        <f>X495*RevenueStreams!$D$27</f>
        <v>960</v>
      </c>
      <c r="AA495" s="457">
        <f>3*8*4</f>
        <v>96</v>
      </c>
      <c r="AB495" s="460" t="str">
        <f>RevenueStreams!$E$27</f>
        <v>Per Hr</v>
      </c>
      <c r="AC495" s="461">
        <f>AA495*RevenueStreams!$D$27</f>
        <v>960</v>
      </c>
      <c r="AD495" s="457">
        <f>3*8*4</f>
        <v>96</v>
      </c>
      <c r="AE495" s="460" t="str">
        <f>RevenueStreams!$E$27</f>
        <v>Per Hr</v>
      </c>
      <c r="AF495" s="461">
        <f>AD495*RevenueStreams!$D$27</f>
        <v>960</v>
      </c>
      <c r="AG495" s="457">
        <f>3*8*4</f>
        <v>96</v>
      </c>
      <c r="AH495" s="460" t="str">
        <f>RevenueStreams!$E$27</f>
        <v>Per Hr</v>
      </c>
      <c r="AI495" s="461">
        <f>AG495*RevenueStreams!$D$27</f>
        <v>960</v>
      </c>
      <c r="AJ495" s="457">
        <f>3*8*4</f>
        <v>96</v>
      </c>
      <c r="AK495" s="460" t="str">
        <f>RevenueStreams!$E$27</f>
        <v>Per Hr</v>
      </c>
      <c r="AL495" s="461">
        <f>AJ495*RevenueStreams!$D$27</f>
        <v>960</v>
      </c>
    </row>
    <row r="496" spans="1:38" x14ac:dyDescent="0.35">
      <c r="A496" s="471">
        <f t="shared" si="29"/>
        <v>7344</v>
      </c>
      <c r="B496" s="459" t="s">
        <v>502</v>
      </c>
      <c r="C496" s="457">
        <v>0</v>
      </c>
      <c r="D496" s="460" t="str">
        <f>RevenueStreams!$E$29</f>
        <v>Per Hr</v>
      </c>
      <c r="E496" s="461">
        <f>C496*RevenueStreams!$D$29</f>
        <v>0</v>
      </c>
      <c r="F496" s="457">
        <v>0</v>
      </c>
      <c r="G496" s="460" t="str">
        <f>RevenueStreams!$E$29</f>
        <v>Per Hr</v>
      </c>
      <c r="H496" s="461">
        <f>F496*RevenueStreams!$D$29</f>
        <v>0</v>
      </c>
      <c r="I496" s="457">
        <v>0</v>
      </c>
      <c r="J496" s="460" t="str">
        <f>RevenueStreams!$E$29</f>
        <v>Per Hr</v>
      </c>
      <c r="K496" s="461">
        <f>I496*RevenueStreams!$D$29</f>
        <v>0</v>
      </c>
      <c r="L496" s="457">
        <v>0</v>
      </c>
      <c r="M496" s="460" t="str">
        <f>RevenueStreams!$E$29</f>
        <v>Per Hr</v>
      </c>
      <c r="N496" s="461">
        <f>L496*RevenueStreams!$D$29</f>
        <v>0</v>
      </c>
      <c r="O496" s="457">
        <v>0</v>
      </c>
      <c r="P496" s="460" t="str">
        <f>RevenueStreams!$E$29</f>
        <v>Per Hr</v>
      </c>
      <c r="Q496" s="461">
        <f>O496*RevenueStreams!$D$29</f>
        <v>0</v>
      </c>
      <c r="R496" s="457">
        <v>0</v>
      </c>
      <c r="S496" s="460" t="str">
        <f>RevenueStreams!$E$29</f>
        <v>Per Hr</v>
      </c>
      <c r="T496" s="461">
        <f>R496*RevenueStreams!$D$29</f>
        <v>0</v>
      </c>
      <c r="U496" s="457">
        <f>3*8*4</f>
        <v>96</v>
      </c>
      <c r="V496" s="460" t="str">
        <f>RevenueStreams!$E$29</f>
        <v>Per Hr</v>
      </c>
      <c r="W496" s="461">
        <f>U496*RevenueStreams!$D$29</f>
        <v>2448</v>
      </c>
      <c r="X496" s="457">
        <f>3*8*4</f>
        <v>96</v>
      </c>
      <c r="Y496" s="460" t="str">
        <f>RevenueStreams!$E$29</f>
        <v>Per Hr</v>
      </c>
      <c r="Z496" s="461">
        <f>X496*RevenueStreams!$D$29</f>
        <v>2448</v>
      </c>
      <c r="AA496" s="457">
        <f>3*8*4</f>
        <v>96</v>
      </c>
      <c r="AB496" s="460" t="str">
        <f>RevenueStreams!$E$29</f>
        <v>Per Hr</v>
      </c>
      <c r="AC496" s="461">
        <f>AA496*RevenueStreams!$D$29</f>
        <v>2448</v>
      </c>
      <c r="AD496" s="457">
        <v>0</v>
      </c>
      <c r="AE496" s="460" t="str">
        <f>RevenueStreams!$E$29</f>
        <v>Per Hr</v>
      </c>
      <c r="AF496" s="461">
        <f>AD496*RevenueStreams!$D$29</f>
        <v>0</v>
      </c>
      <c r="AG496" s="457">
        <v>0</v>
      </c>
      <c r="AH496" s="460" t="str">
        <f>RevenueStreams!$E$29</f>
        <v>Per Hr</v>
      </c>
      <c r="AI496" s="461">
        <f>AG496*RevenueStreams!$D$29</f>
        <v>0</v>
      </c>
      <c r="AJ496" s="457">
        <v>0</v>
      </c>
      <c r="AK496" s="460" t="str">
        <f>RevenueStreams!$E$29</f>
        <v>Per Hr</v>
      </c>
      <c r="AL496" s="461">
        <f>AJ496*RevenueStreams!$D$29</f>
        <v>0</v>
      </c>
    </row>
    <row r="497" spans="1:41" x14ac:dyDescent="0.35">
      <c r="A497" s="471">
        <f t="shared" si="29"/>
        <v>18259.560719999998</v>
      </c>
      <c r="B497" s="459" t="s">
        <v>503</v>
      </c>
      <c r="C497" s="457">
        <v>0</v>
      </c>
      <c r="D497" s="460" t="str">
        <f>RevenueStreams!$E$30</f>
        <v>Per Hr</v>
      </c>
      <c r="E497" s="461">
        <f>C497*RevenueStreams!$D$30</f>
        <v>0</v>
      </c>
      <c r="F497" s="457">
        <v>0</v>
      </c>
      <c r="G497" s="460" t="str">
        <f>RevenueStreams!$E$30</f>
        <v>Per Hr</v>
      </c>
      <c r="H497" s="461">
        <f>F497*RevenueStreams!$D$30</f>
        <v>0</v>
      </c>
      <c r="I497" s="457">
        <v>0</v>
      </c>
      <c r="J497" s="460" t="str">
        <f>RevenueStreams!$E$30</f>
        <v>Per Hr</v>
      </c>
      <c r="K497" s="461">
        <f>I497*RevenueStreams!$D$30</f>
        <v>0</v>
      </c>
      <c r="L497" s="457">
        <f>3*8*4</f>
        <v>96</v>
      </c>
      <c r="M497" s="460" t="str">
        <f>RevenueStreams!$E$30</f>
        <v>Per Hr</v>
      </c>
      <c r="N497" s="461">
        <f>L497*RevenueStreams!$D$30</f>
        <v>6086.5202399999989</v>
      </c>
      <c r="O497" s="457">
        <f>3*8*4</f>
        <v>96</v>
      </c>
      <c r="P497" s="460" t="str">
        <f>RevenueStreams!$E$30</f>
        <v>Per Hr</v>
      </c>
      <c r="Q497" s="461">
        <f>O497*RevenueStreams!$D$30</f>
        <v>6086.5202399999989</v>
      </c>
      <c r="R497" s="457">
        <f>3*8*4</f>
        <v>96</v>
      </c>
      <c r="S497" s="460" t="str">
        <f>RevenueStreams!$E$30</f>
        <v>Per Hr</v>
      </c>
      <c r="T497" s="461">
        <f>R497*RevenueStreams!$D$30</f>
        <v>6086.5202399999989</v>
      </c>
      <c r="U497" s="457">
        <v>0</v>
      </c>
      <c r="V497" s="460" t="str">
        <f>RevenueStreams!$E$30</f>
        <v>Per Hr</v>
      </c>
      <c r="W497" s="461">
        <f>U497*RevenueStreams!$D$30</f>
        <v>0</v>
      </c>
      <c r="X497" s="457">
        <v>0</v>
      </c>
      <c r="Y497" s="460" t="str">
        <f>RevenueStreams!$E$30</f>
        <v>Per Hr</v>
      </c>
      <c r="Z497" s="461">
        <f>X497*RevenueStreams!$D$30</f>
        <v>0</v>
      </c>
      <c r="AA497" s="457">
        <v>0</v>
      </c>
      <c r="AB497" s="460" t="str">
        <f>RevenueStreams!$E$30</f>
        <v>Per Hr</v>
      </c>
      <c r="AC497" s="461">
        <f>AA497*RevenueStreams!$D$30</f>
        <v>0</v>
      </c>
      <c r="AD497" s="457">
        <v>0</v>
      </c>
      <c r="AE497" s="460" t="str">
        <f>RevenueStreams!$E$30</f>
        <v>Per Hr</v>
      </c>
      <c r="AF497" s="461">
        <f>AD497*RevenueStreams!$D$30</f>
        <v>0</v>
      </c>
      <c r="AG497" s="457">
        <v>0</v>
      </c>
      <c r="AH497" s="460" t="str">
        <f>RevenueStreams!$E$30</f>
        <v>Per Hr</v>
      </c>
      <c r="AI497" s="461">
        <f>AG497*RevenueStreams!$D$30</f>
        <v>0</v>
      </c>
      <c r="AJ497" s="457">
        <v>0</v>
      </c>
      <c r="AK497" s="460" t="str">
        <f>RevenueStreams!$E$30</f>
        <v>Per Hr</v>
      </c>
      <c r="AL497" s="461">
        <f>AJ497*RevenueStreams!$D$30</f>
        <v>0</v>
      </c>
    </row>
    <row r="498" spans="1:41" x14ac:dyDescent="0.35">
      <c r="A498" s="471">
        <f t="shared" si="29"/>
        <v>5044.616</v>
      </c>
      <c r="B498" s="459" t="s">
        <v>507</v>
      </c>
      <c r="C498" s="457">
        <v>0</v>
      </c>
      <c r="D498" s="460" t="str">
        <f>RevenueStreams!$E$31</f>
        <v>Per Hr</v>
      </c>
      <c r="E498" s="461">
        <f>C498*RevenueStreams!$D$31</f>
        <v>0</v>
      </c>
      <c r="F498" s="457">
        <v>0</v>
      </c>
      <c r="G498" s="460" t="str">
        <f>RevenueStreams!$E$31</f>
        <v>Per Hr</v>
      </c>
      <c r="H498" s="461">
        <f>F498*RevenueStreams!$D$31</f>
        <v>0</v>
      </c>
      <c r="I498" s="457">
        <v>0</v>
      </c>
      <c r="J498" s="460" t="str">
        <f>RevenueStreams!$E$31</f>
        <v>Per Hr</v>
      </c>
      <c r="K498" s="461">
        <f>I498*RevenueStreams!$D$31</f>
        <v>0</v>
      </c>
      <c r="L498" s="457">
        <v>0</v>
      </c>
      <c r="M498" s="460" t="str">
        <f>RevenueStreams!$E$31</f>
        <v>Per Hr</v>
      </c>
      <c r="N498" s="461">
        <f>L498*RevenueStreams!$D$31</f>
        <v>0</v>
      </c>
      <c r="O498" s="457">
        <f>2*8*2</f>
        <v>32</v>
      </c>
      <c r="P498" s="460" t="str">
        <f>RevenueStreams!$E$31</f>
        <v>Per Hr</v>
      </c>
      <c r="Q498" s="461">
        <f>O498*RevenueStreams!$D$31</f>
        <v>2522.308</v>
      </c>
      <c r="R498" s="457">
        <f>2*8*2</f>
        <v>32</v>
      </c>
      <c r="S498" s="460" t="str">
        <f>RevenueStreams!$E$31</f>
        <v>Per Hr</v>
      </c>
      <c r="T498" s="461">
        <f>R498*RevenueStreams!$D$31</f>
        <v>2522.308</v>
      </c>
      <c r="U498" s="457">
        <v>0</v>
      </c>
      <c r="V498" s="460" t="str">
        <f>RevenueStreams!$E$31</f>
        <v>Per Hr</v>
      </c>
      <c r="W498" s="461">
        <f>U498*RevenueStreams!$D$31</f>
        <v>0</v>
      </c>
      <c r="X498" s="457">
        <v>0</v>
      </c>
      <c r="Y498" s="460" t="str">
        <f>RevenueStreams!$E$31</f>
        <v>Per Hr</v>
      </c>
      <c r="Z498" s="461">
        <f>X498*RevenueStreams!$D$31</f>
        <v>0</v>
      </c>
      <c r="AA498" s="457">
        <v>0</v>
      </c>
      <c r="AB498" s="460" t="str">
        <f>RevenueStreams!$E$31</f>
        <v>Per Hr</v>
      </c>
      <c r="AC498" s="461">
        <f>AA498*RevenueStreams!$D$31</f>
        <v>0</v>
      </c>
      <c r="AD498" s="457">
        <v>0</v>
      </c>
      <c r="AE498" s="460" t="str">
        <f>RevenueStreams!$E$31</f>
        <v>Per Hr</v>
      </c>
      <c r="AF498" s="461">
        <f>AD498*RevenueStreams!$D$31</f>
        <v>0</v>
      </c>
      <c r="AG498" s="457">
        <v>0</v>
      </c>
      <c r="AH498" s="460" t="str">
        <f>RevenueStreams!$E$31</f>
        <v>Per Hr</v>
      </c>
      <c r="AI498" s="461">
        <f>AG498*RevenueStreams!$D$31</f>
        <v>0</v>
      </c>
      <c r="AJ498" s="457">
        <v>0</v>
      </c>
      <c r="AK498" s="460" t="str">
        <f>RevenueStreams!$E$31</f>
        <v>Per Hr</v>
      </c>
      <c r="AL498" s="461">
        <f>AJ498*RevenueStreams!$D$31</f>
        <v>0</v>
      </c>
    </row>
    <row r="499" spans="1:41" x14ac:dyDescent="0.35">
      <c r="A499" s="471">
        <f t="shared" si="29"/>
        <v>1181.4399999999998</v>
      </c>
      <c r="B499" s="459" t="s">
        <v>506</v>
      </c>
      <c r="C499" s="457">
        <v>0</v>
      </c>
      <c r="D499" s="460" t="str">
        <f>RevenueStreams!$E$32</f>
        <v>Per Hr</v>
      </c>
      <c r="E499" s="461">
        <f>C499*RevenueStreams!$D$32</f>
        <v>0</v>
      </c>
      <c r="F499" s="457">
        <v>0</v>
      </c>
      <c r="G499" s="460" t="str">
        <f>RevenueStreams!$E$32</f>
        <v>Per Hr</v>
      </c>
      <c r="H499" s="461">
        <f>F499*RevenueStreams!$D$32</f>
        <v>0</v>
      </c>
      <c r="I499" s="457">
        <v>0</v>
      </c>
      <c r="J499" s="460" t="str">
        <f>RevenueStreams!$E$32</f>
        <v>Per Hr</v>
      </c>
      <c r="K499" s="461">
        <f>I499*RevenueStreams!$D$32</f>
        <v>0</v>
      </c>
      <c r="L499" s="457">
        <f>8*1*4</f>
        <v>32</v>
      </c>
      <c r="M499" s="460" t="str">
        <f>RevenueStreams!$E$32</f>
        <v>Per Hr</v>
      </c>
      <c r="N499" s="461">
        <f>L499*RevenueStreams!$D$32</f>
        <v>393.81333333333328</v>
      </c>
      <c r="O499" s="457">
        <f>8*1*4</f>
        <v>32</v>
      </c>
      <c r="P499" s="460" t="str">
        <f>RevenueStreams!$E$32</f>
        <v>Per Hr</v>
      </c>
      <c r="Q499" s="461">
        <f>O499*RevenueStreams!$D$32</f>
        <v>393.81333333333328</v>
      </c>
      <c r="R499" s="457">
        <f>8*1*4</f>
        <v>32</v>
      </c>
      <c r="S499" s="460" t="str">
        <f>RevenueStreams!$E$32</f>
        <v>Per Hr</v>
      </c>
      <c r="T499" s="461">
        <f>R499*RevenueStreams!$D$32</f>
        <v>393.81333333333328</v>
      </c>
      <c r="U499" s="457">
        <v>0</v>
      </c>
      <c r="V499" s="460" t="str">
        <f>RevenueStreams!$E$32</f>
        <v>Per Hr</v>
      </c>
      <c r="W499" s="461">
        <f>U499*RevenueStreams!$D$32</f>
        <v>0</v>
      </c>
      <c r="X499" s="457">
        <v>0</v>
      </c>
      <c r="Y499" s="460" t="str">
        <f>RevenueStreams!$E$32</f>
        <v>Per Hr</v>
      </c>
      <c r="Z499" s="461">
        <f>X499*RevenueStreams!$D$32</f>
        <v>0</v>
      </c>
      <c r="AA499" s="457">
        <v>0</v>
      </c>
      <c r="AB499" s="460" t="str">
        <f>RevenueStreams!$E$32</f>
        <v>Per Hr</v>
      </c>
      <c r="AC499" s="461">
        <f>AA499*RevenueStreams!$D$32</f>
        <v>0</v>
      </c>
      <c r="AD499" s="457">
        <v>0</v>
      </c>
      <c r="AE499" s="460" t="str">
        <f>RevenueStreams!$E$32</f>
        <v>Per Hr</v>
      </c>
      <c r="AF499" s="461">
        <f>AD499*RevenueStreams!$D$32</f>
        <v>0</v>
      </c>
      <c r="AG499" s="457">
        <v>0</v>
      </c>
      <c r="AH499" s="460" t="str">
        <f>RevenueStreams!$E$32</f>
        <v>Per Hr</v>
      </c>
      <c r="AI499" s="461">
        <f>AG499*RevenueStreams!$D$32</f>
        <v>0</v>
      </c>
      <c r="AJ499" s="457">
        <v>0</v>
      </c>
      <c r="AK499" s="460" t="str">
        <f>RevenueStreams!$E$32</f>
        <v>Per Hr</v>
      </c>
      <c r="AL499" s="461">
        <f>AJ499*RevenueStreams!$D$32</f>
        <v>0</v>
      </c>
    </row>
    <row r="500" spans="1:41" x14ac:dyDescent="0.35">
      <c r="A500" s="471">
        <f t="shared" si="29"/>
        <v>2974.9759999999992</v>
      </c>
      <c r="B500" s="459" t="s">
        <v>508</v>
      </c>
      <c r="C500" s="457">
        <f>8*1*2</f>
        <v>16</v>
      </c>
      <c r="D500" s="460" t="str">
        <f>RevenueStreams!$E$33</f>
        <v>Per Hr</v>
      </c>
      <c r="E500" s="461">
        <f>C500*RevenueStreams!$D$33</f>
        <v>247.91466666666668</v>
      </c>
      <c r="F500" s="457">
        <f>8*1*2</f>
        <v>16</v>
      </c>
      <c r="G500" s="460" t="str">
        <f>RevenueStreams!$E$33</f>
        <v>Per Hr</v>
      </c>
      <c r="H500" s="461">
        <f>F500*RevenueStreams!$D$33</f>
        <v>247.91466666666668</v>
      </c>
      <c r="I500" s="457">
        <f>8*1*2</f>
        <v>16</v>
      </c>
      <c r="J500" s="460" t="str">
        <f>RevenueStreams!$E$33</f>
        <v>Per Hr</v>
      </c>
      <c r="K500" s="461">
        <f>I500*RevenueStreams!$D$33</f>
        <v>247.91466666666668</v>
      </c>
      <c r="L500" s="457">
        <f>8*1*2</f>
        <v>16</v>
      </c>
      <c r="M500" s="460" t="str">
        <f>RevenueStreams!$E$33</f>
        <v>Per Hr</v>
      </c>
      <c r="N500" s="461">
        <f>L500*RevenueStreams!$D$33</f>
        <v>247.91466666666668</v>
      </c>
      <c r="O500" s="457">
        <f>8*1*2</f>
        <v>16</v>
      </c>
      <c r="P500" s="460" t="str">
        <f>RevenueStreams!$E$33</f>
        <v>Per Hr</v>
      </c>
      <c r="Q500" s="461">
        <f>O500*RevenueStreams!$D$33</f>
        <v>247.91466666666668</v>
      </c>
      <c r="R500" s="457">
        <f>8*1*2</f>
        <v>16</v>
      </c>
      <c r="S500" s="460" t="str">
        <f>RevenueStreams!$E$33</f>
        <v>Per Hr</v>
      </c>
      <c r="T500" s="461">
        <f>R500*RevenueStreams!$D$33</f>
        <v>247.91466666666668</v>
      </c>
      <c r="U500" s="457">
        <f>8*1*2</f>
        <v>16</v>
      </c>
      <c r="V500" s="460" t="str">
        <f>RevenueStreams!$E$33</f>
        <v>Per Hr</v>
      </c>
      <c r="W500" s="461">
        <f>U500*RevenueStreams!$D$33</f>
        <v>247.91466666666668</v>
      </c>
      <c r="X500" s="457">
        <f>8*1*2</f>
        <v>16</v>
      </c>
      <c r="Y500" s="460" t="str">
        <f>RevenueStreams!$E$33</f>
        <v>Per Hr</v>
      </c>
      <c r="Z500" s="461">
        <f>X500*RevenueStreams!$D$33</f>
        <v>247.91466666666668</v>
      </c>
      <c r="AA500" s="457">
        <f>8*1*2</f>
        <v>16</v>
      </c>
      <c r="AB500" s="460" t="str">
        <f>RevenueStreams!$E$33</f>
        <v>Per Hr</v>
      </c>
      <c r="AC500" s="461">
        <f>AA500*RevenueStreams!$D$33</f>
        <v>247.91466666666668</v>
      </c>
      <c r="AD500" s="457">
        <f>8*1*2</f>
        <v>16</v>
      </c>
      <c r="AE500" s="460" t="str">
        <f>RevenueStreams!$E$33</f>
        <v>Per Hr</v>
      </c>
      <c r="AF500" s="461">
        <f>AD500*RevenueStreams!$D$33</f>
        <v>247.91466666666668</v>
      </c>
      <c r="AG500" s="457">
        <f>8*1*2</f>
        <v>16</v>
      </c>
      <c r="AH500" s="460" t="str">
        <f>RevenueStreams!$E$33</f>
        <v>Per Hr</v>
      </c>
      <c r="AI500" s="461">
        <f>AG500*RevenueStreams!$D$33</f>
        <v>247.91466666666668</v>
      </c>
      <c r="AJ500" s="457">
        <f>8*1*2</f>
        <v>16</v>
      </c>
      <c r="AK500" s="460" t="str">
        <f>RevenueStreams!$E$33</f>
        <v>Per Hr</v>
      </c>
      <c r="AL500" s="461">
        <f>AJ500*RevenueStreams!$D$33</f>
        <v>247.91466666666668</v>
      </c>
    </row>
    <row r="501" spans="1:41" x14ac:dyDescent="0.35">
      <c r="A501" s="471">
        <f>SUM(E501,H501,K501,N501,Q501,T501,W501,Z501,AC501,AF501,AI501,AL501)</f>
        <v>19200</v>
      </c>
      <c r="B501" s="459" t="s">
        <v>520</v>
      </c>
      <c r="C501" s="457">
        <f>1*8*4</f>
        <v>32</v>
      </c>
      <c r="D501" s="460" t="str">
        <f>RevenueStreams!$E$34</f>
        <v>Per Hr</v>
      </c>
      <c r="E501" s="461">
        <f>C501*RevenueStreams!$D$34</f>
        <v>1600</v>
      </c>
      <c r="F501" s="457">
        <f>1*8*4</f>
        <v>32</v>
      </c>
      <c r="G501" s="460" t="str">
        <f>RevenueStreams!$E$34</f>
        <v>Per Hr</v>
      </c>
      <c r="H501" s="461">
        <f>F501*RevenueStreams!$D$34</f>
        <v>1600</v>
      </c>
      <c r="I501" s="457">
        <f>1*8*4</f>
        <v>32</v>
      </c>
      <c r="J501" s="460" t="str">
        <f>RevenueStreams!$E$34</f>
        <v>Per Hr</v>
      </c>
      <c r="K501" s="461">
        <f>I501*RevenueStreams!$D$34</f>
        <v>1600</v>
      </c>
      <c r="L501" s="457">
        <f>1*8*4</f>
        <v>32</v>
      </c>
      <c r="M501" s="460" t="str">
        <f>RevenueStreams!$E$34</f>
        <v>Per Hr</v>
      </c>
      <c r="N501" s="461">
        <f>L501*RevenueStreams!$D$34</f>
        <v>1600</v>
      </c>
      <c r="O501" s="457">
        <f>1*8*4</f>
        <v>32</v>
      </c>
      <c r="P501" s="460" t="str">
        <f>RevenueStreams!$E$34</f>
        <v>Per Hr</v>
      </c>
      <c r="Q501" s="461">
        <f>O501*RevenueStreams!$D$34</f>
        <v>1600</v>
      </c>
      <c r="R501" s="457">
        <f>1*8*4</f>
        <v>32</v>
      </c>
      <c r="S501" s="460" t="str">
        <f>RevenueStreams!$E$34</f>
        <v>Per Hr</v>
      </c>
      <c r="T501" s="461">
        <f>R501*RevenueStreams!$D$34</f>
        <v>1600</v>
      </c>
      <c r="U501" s="457">
        <f>1*8*4</f>
        <v>32</v>
      </c>
      <c r="V501" s="460" t="str">
        <f>RevenueStreams!$E$34</f>
        <v>Per Hr</v>
      </c>
      <c r="W501" s="461">
        <f>U501*RevenueStreams!$D$34</f>
        <v>1600</v>
      </c>
      <c r="X501" s="457">
        <f>1*8*4</f>
        <v>32</v>
      </c>
      <c r="Y501" s="460" t="str">
        <f>RevenueStreams!$E$34</f>
        <v>Per Hr</v>
      </c>
      <c r="Z501" s="461">
        <f>X501*RevenueStreams!$D$34</f>
        <v>1600</v>
      </c>
      <c r="AA501" s="457">
        <f>1*8*4</f>
        <v>32</v>
      </c>
      <c r="AB501" s="460" t="str">
        <f>RevenueStreams!$E$34</f>
        <v>Per Hr</v>
      </c>
      <c r="AC501" s="461">
        <f>AA501*RevenueStreams!$D$34</f>
        <v>1600</v>
      </c>
      <c r="AD501" s="457">
        <f>1*8*4</f>
        <v>32</v>
      </c>
      <c r="AE501" s="460" t="str">
        <f>RevenueStreams!$E$34</f>
        <v>Per Hr</v>
      </c>
      <c r="AF501" s="461">
        <f>AD501*RevenueStreams!$D$34</f>
        <v>1600</v>
      </c>
      <c r="AG501" s="457">
        <f>1*8*4</f>
        <v>32</v>
      </c>
      <c r="AH501" s="460" t="str">
        <f>RevenueStreams!$E$34</f>
        <v>Per Hr</v>
      </c>
      <c r="AI501" s="461">
        <f>AG501*RevenueStreams!$D$34</f>
        <v>1600</v>
      </c>
      <c r="AJ501" s="457">
        <f>1*8*4</f>
        <v>32</v>
      </c>
      <c r="AK501" s="460" t="str">
        <f>RevenueStreams!$E$34</f>
        <v>Per Hr</v>
      </c>
      <c r="AL501" s="461">
        <f>AJ501*RevenueStreams!$D$34</f>
        <v>1600</v>
      </c>
    </row>
    <row r="502" spans="1:41" x14ac:dyDescent="0.35">
      <c r="A502" s="472"/>
      <c r="B502" s="459" t="s">
        <v>499</v>
      </c>
      <c r="C502" s="457">
        <v>0</v>
      </c>
      <c r="D502" s="460" t="str">
        <f>RevenueStreams!$E$36</f>
        <v>% of Charged</v>
      </c>
      <c r="E502" s="461">
        <f>C502*RevenueStreams!$D$36</f>
        <v>0</v>
      </c>
      <c r="F502" s="457">
        <v>0</v>
      </c>
      <c r="G502" s="460" t="str">
        <f>RevenueStreams!$E$36</f>
        <v>% of Charged</v>
      </c>
      <c r="H502" s="461">
        <f>F502*RevenueStreams!$D$36</f>
        <v>0</v>
      </c>
      <c r="I502" s="457">
        <v>0</v>
      </c>
      <c r="J502" s="460" t="str">
        <f>RevenueStreams!$E$36</f>
        <v>% of Charged</v>
      </c>
      <c r="K502" s="461">
        <f>I502*RevenueStreams!$D$36</f>
        <v>0</v>
      </c>
      <c r="L502" s="457">
        <v>0</v>
      </c>
      <c r="M502" s="460" t="str">
        <f>RevenueStreams!$E$36</f>
        <v>% of Charged</v>
      </c>
      <c r="N502" s="461">
        <f>L502*RevenueStreams!$D$36</f>
        <v>0</v>
      </c>
      <c r="O502" s="457">
        <v>0</v>
      </c>
      <c r="P502" s="460" t="str">
        <f>RevenueStreams!$E$36</f>
        <v>% of Charged</v>
      </c>
      <c r="Q502" s="461">
        <f>O502*RevenueStreams!$D$36</f>
        <v>0</v>
      </c>
      <c r="R502" s="457">
        <v>0</v>
      </c>
      <c r="S502" s="460" t="str">
        <f>RevenueStreams!$E$36</f>
        <v>% of Charged</v>
      </c>
      <c r="T502" s="461">
        <f>R502*RevenueStreams!$D$36</f>
        <v>0</v>
      </c>
      <c r="U502" s="457">
        <v>0</v>
      </c>
      <c r="V502" s="460" t="str">
        <f>RevenueStreams!$E$36</f>
        <v>% of Charged</v>
      </c>
      <c r="W502" s="461">
        <f>U502*RevenueStreams!$D$36</f>
        <v>0</v>
      </c>
      <c r="X502" s="457">
        <v>0</v>
      </c>
      <c r="Y502" s="460" t="str">
        <f>RevenueStreams!$E$36</f>
        <v>% of Charged</v>
      </c>
      <c r="Z502" s="461">
        <f>X502*RevenueStreams!$D$36</f>
        <v>0</v>
      </c>
      <c r="AA502" s="457">
        <v>0</v>
      </c>
      <c r="AB502" s="460" t="str">
        <f>RevenueStreams!$E$36</f>
        <v>% of Charged</v>
      </c>
      <c r="AC502" s="461">
        <f>AA502*RevenueStreams!$D$36</f>
        <v>0</v>
      </c>
      <c r="AD502" s="457">
        <v>0</v>
      </c>
      <c r="AE502" s="460" t="str">
        <f>RevenueStreams!$E$36</f>
        <v>% of Charged</v>
      </c>
      <c r="AF502" s="461">
        <f>AD502*RevenueStreams!$D$36</f>
        <v>0</v>
      </c>
      <c r="AG502" s="457">
        <v>0</v>
      </c>
      <c r="AH502" s="460" t="str">
        <f>RevenueStreams!$E$36</f>
        <v>% of Charged</v>
      </c>
      <c r="AI502" s="461">
        <f>AG502*RevenueStreams!$D$36</f>
        <v>0</v>
      </c>
      <c r="AJ502" s="457">
        <v>0</v>
      </c>
      <c r="AK502" s="460" t="str">
        <f>RevenueStreams!$E$36</f>
        <v>% of Charged</v>
      </c>
      <c r="AL502" s="461">
        <f>AJ502*RevenueStreams!$D$36</f>
        <v>0</v>
      </c>
    </row>
    <row r="503" spans="1:41" x14ac:dyDescent="0.35">
      <c r="A503" s="469">
        <f>SUM(E503,H503,K503,N503,Q503,T503,W503,Z503,AC503,AF503,AI503,AL503)</f>
        <v>132251.59271999999</v>
      </c>
      <c r="B503" s="509" t="s">
        <v>730</v>
      </c>
      <c r="C503" s="519">
        <f>SUM(C480:C502)</f>
        <v>323</v>
      </c>
      <c r="D503" s="511"/>
      <c r="E503" s="510">
        <f>SUM(E480:E502)</f>
        <v>8103.9146666666666</v>
      </c>
      <c r="F503" s="519">
        <f>SUM(F480:F502)</f>
        <v>332</v>
      </c>
      <c r="G503" s="511"/>
      <c r="H503" s="510">
        <f>SUM(H480:H502)</f>
        <v>8508.9146666666675</v>
      </c>
      <c r="I503" s="519">
        <f>SUM(I480:I502)</f>
        <v>332</v>
      </c>
      <c r="J503" s="511"/>
      <c r="K503" s="510">
        <f>SUM(K480:K502)</f>
        <v>8508.9146666666675</v>
      </c>
      <c r="L503" s="519">
        <f>SUM(L480:L502)</f>
        <v>460</v>
      </c>
      <c r="M503" s="511"/>
      <c r="N503" s="510">
        <f>SUM(N480:N502)</f>
        <v>14989.248239999999</v>
      </c>
      <c r="O503" s="519">
        <f>SUM(O480:O502)</f>
        <v>492</v>
      </c>
      <c r="P503" s="511"/>
      <c r="Q503" s="510">
        <f>SUM(Q480:Q502)</f>
        <v>17511.556239999998</v>
      </c>
      <c r="R503" s="519">
        <f>SUM(R480:R502)</f>
        <v>492</v>
      </c>
      <c r="S503" s="511"/>
      <c r="T503" s="510">
        <f>SUM(T480:T502)</f>
        <v>17511.556239999998</v>
      </c>
      <c r="U503" s="519">
        <f>SUM(U480:U502)</f>
        <v>428</v>
      </c>
      <c r="V503" s="511"/>
      <c r="W503" s="510">
        <f>SUM(W480:W502)</f>
        <v>10956.914666666667</v>
      </c>
      <c r="X503" s="519">
        <f>SUM(X480:X502)</f>
        <v>428</v>
      </c>
      <c r="Y503" s="511"/>
      <c r="Z503" s="510">
        <f>SUM(Z480:Z502)</f>
        <v>10956.914666666667</v>
      </c>
      <c r="AA503" s="519">
        <f>SUM(AA480:AA502)</f>
        <v>420</v>
      </c>
      <c r="AB503" s="511"/>
      <c r="AC503" s="510">
        <f>SUM(AC480:AC502)</f>
        <v>10756.914666666667</v>
      </c>
      <c r="AD503" s="519">
        <f>SUM(AD480:AD502)</f>
        <v>324</v>
      </c>
      <c r="AE503" s="511"/>
      <c r="AF503" s="510">
        <f>SUM(AF480:AF502)</f>
        <v>8308.9146666666675</v>
      </c>
      <c r="AG503" s="519">
        <f>SUM(AG480:AG502)</f>
        <v>322</v>
      </c>
      <c r="AH503" s="511"/>
      <c r="AI503" s="510">
        <f>SUM(AI480:AI502)</f>
        <v>7828.9146666666666</v>
      </c>
      <c r="AJ503" s="519">
        <f>SUM(AJ480:AJ502)</f>
        <v>324</v>
      </c>
      <c r="AK503" s="511"/>
      <c r="AL503" s="510">
        <f>SUM(AL480:AL502)</f>
        <v>8308.9146666666675</v>
      </c>
    </row>
    <row r="505" spans="1:41" x14ac:dyDescent="0.35">
      <c r="A505" s="507" t="s">
        <v>653</v>
      </c>
      <c r="B505" s="508" t="s">
        <v>731</v>
      </c>
      <c r="C505" s="501" t="s">
        <v>33</v>
      </c>
      <c r="D505" s="502"/>
      <c r="E505" s="503" t="s">
        <v>320</v>
      </c>
      <c r="F505" s="501" t="s">
        <v>33</v>
      </c>
      <c r="G505" s="502"/>
      <c r="H505" s="503" t="s">
        <v>320</v>
      </c>
      <c r="I505" s="501" t="s">
        <v>33</v>
      </c>
      <c r="J505" s="502"/>
      <c r="K505" s="503" t="s">
        <v>320</v>
      </c>
      <c r="L505" s="501" t="s">
        <v>33</v>
      </c>
      <c r="M505" s="502"/>
      <c r="N505" s="503" t="s">
        <v>320</v>
      </c>
      <c r="O505" s="501" t="s">
        <v>33</v>
      </c>
      <c r="P505" s="502"/>
      <c r="Q505" s="503" t="s">
        <v>320</v>
      </c>
      <c r="R505" s="501" t="s">
        <v>33</v>
      </c>
      <c r="S505" s="502"/>
      <c r="T505" s="503" t="s">
        <v>320</v>
      </c>
      <c r="U505" s="501" t="s">
        <v>33</v>
      </c>
      <c r="V505" s="502"/>
      <c r="W505" s="503" t="s">
        <v>320</v>
      </c>
      <c r="X505" s="501" t="s">
        <v>33</v>
      </c>
      <c r="Y505" s="502"/>
      <c r="Z505" s="503" t="s">
        <v>320</v>
      </c>
      <c r="AA505" s="501" t="s">
        <v>33</v>
      </c>
      <c r="AB505" s="502"/>
      <c r="AC505" s="503" t="s">
        <v>320</v>
      </c>
      <c r="AD505" s="501" t="s">
        <v>33</v>
      </c>
      <c r="AE505" s="502"/>
      <c r="AF505" s="503" t="s">
        <v>320</v>
      </c>
      <c r="AG505" s="501" t="s">
        <v>33</v>
      </c>
      <c r="AH505" s="502"/>
      <c r="AI505" s="503" t="s">
        <v>320</v>
      </c>
      <c r="AJ505" s="501" t="s">
        <v>33</v>
      </c>
      <c r="AK505" s="502"/>
      <c r="AL505" s="503" t="s">
        <v>320</v>
      </c>
    </row>
    <row r="506" spans="1:41" x14ac:dyDescent="0.35">
      <c r="A506" s="471">
        <f>SUM(E506,H506,K506,N506,Q506,T506,W506,Z506,AC506,AF506,AI506,AL506)</f>
        <v>49308.480000000003</v>
      </c>
      <c r="B506" s="506">
        <f>Payroll!B475</f>
        <v>0</v>
      </c>
      <c r="C506" s="517">
        <v>120</v>
      </c>
      <c r="D506" s="504"/>
      <c r="E506" s="461">
        <f>C506*Payroll!$O$19/(50*5*8/12)</f>
        <v>4109.04</v>
      </c>
      <c r="F506" s="517">
        <v>120</v>
      </c>
      <c r="G506" s="504"/>
      <c r="H506" s="461">
        <f>F506*Payroll!$O$19/(50*5*8/12)</f>
        <v>4109.04</v>
      </c>
      <c r="I506" s="517">
        <v>120</v>
      </c>
      <c r="J506" s="504"/>
      <c r="K506" s="461">
        <f>I506*Payroll!$O$19/(50*5*8/12)</f>
        <v>4109.04</v>
      </c>
      <c r="L506" s="517">
        <v>120</v>
      </c>
      <c r="M506" s="504"/>
      <c r="N506" s="461">
        <f>L506*Payroll!$O$19/(50*5*8/12)</f>
        <v>4109.04</v>
      </c>
      <c r="O506" s="517">
        <v>120</v>
      </c>
      <c r="P506" s="504"/>
      <c r="Q506" s="461">
        <f>O506*Payroll!$O$19/(50*5*8/12)</f>
        <v>4109.04</v>
      </c>
      <c r="R506" s="517">
        <v>120</v>
      </c>
      <c r="S506" s="504"/>
      <c r="T506" s="461">
        <f>R506*Payroll!$O$19/(50*5*8/12)</f>
        <v>4109.04</v>
      </c>
      <c r="U506" s="517">
        <v>120</v>
      </c>
      <c r="V506" s="504"/>
      <c r="W506" s="461">
        <f>U506*Payroll!$O$19/(50*5*8/12)</f>
        <v>4109.04</v>
      </c>
      <c r="X506" s="517">
        <v>120</v>
      </c>
      <c r="Y506" s="504"/>
      <c r="Z506" s="461">
        <f>X506*Payroll!$O$19/(50*5*8/12)</f>
        <v>4109.04</v>
      </c>
      <c r="AA506" s="517">
        <v>120</v>
      </c>
      <c r="AB506" s="504"/>
      <c r="AC506" s="461">
        <f>AA506*Payroll!$O$19/(50*5*8/12)</f>
        <v>4109.04</v>
      </c>
      <c r="AD506" s="517">
        <v>120</v>
      </c>
      <c r="AE506" s="504"/>
      <c r="AF506" s="461">
        <f>AD506*Payroll!$O$19/(50*5*8/12)</f>
        <v>4109.04</v>
      </c>
      <c r="AG506" s="517">
        <v>120</v>
      </c>
      <c r="AH506" s="504"/>
      <c r="AI506" s="461">
        <f>AG506*Payroll!$O$19/(50*5*8/12)</f>
        <v>4109.04</v>
      </c>
      <c r="AJ506" s="517">
        <v>120</v>
      </c>
      <c r="AK506" s="504"/>
      <c r="AL506" s="461">
        <f>AJ506*Payroll!$O$19/(50*5*8/12)</f>
        <v>4109.04</v>
      </c>
      <c r="AN506" s="114" t="s">
        <v>744</v>
      </c>
      <c r="AO506" s="446">
        <f>SUM(A506:A512)</f>
        <v>98616.960000000006</v>
      </c>
    </row>
    <row r="507" spans="1:41" x14ac:dyDescent="0.35">
      <c r="A507" s="471">
        <f>SUM(E507,H507,K507,N507,Q507,T507,W507,Z507,AC507,AF507,AI507,AL507)</f>
        <v>0</v>
      </c>
      <c r="B507" s="506">
        <f>Payroll!B476</f>
        <v>0</v>
      </c>
      <c r="C507" s="517"/>
      <c r="D507" s="504"/>
      <c r="E507" s="461">
        <f>C507*Payroll!$O$19/(50*5*8/12)</f>
        <v>0</v>
      </c>
      <c r="F507" s="517"/>
      <c r="G507" s="504"/>
      <c r="H507" s="461">
        <f>F507*Payroll!$O$19/(50*5*8/12)</f>
        <v>0</v>
      </c>
      <c r="I507" s="517"/>
      <c r="J507" s="504"/>
      <c r="K507" s="461">
        <f>I507*Payroll!$O$19/(50*5*8/12)</f>
        <v>0</v>
      </c>
      <c r="L507" s="517"/>
      <c r="M507" s="504"/>
      <c r="N507" s="461">
        <f>L507*Payroll!$O$19/(50*5*8/12)</f>
        <v>0</v>
      </c>
      <c r="O507" s="517"/>
      <c r="P507" s="504"/>
      <c r="Q507" s="461">
        <f>O507*Payroll!$O$19/(50*5*8/12)</f>
        <v>0</v>
      </c>
      <c r="R507" s="517"/>
      <c r="S507" s="504"/>
      <c r="T507" s="461">
        <f>R507*Payroll!$O$19/(50*5*8/12)</f>
        <v>0</v>
      </c>
      <c r="U507" s="517"/>
      <c r="V507" s="504"/>
      <c r="W507" s="461">
        <f>U507*Payroll!$O$19/(50*5*8/12)</f>
        <v>0</v>
      </c>
      <c r="X507" s="517"/>
      <c r="Y507" s="504"/>
      <c r="Z507" s="461">
        <f>X507*Payroll!$O$19/(50*5*8/12)</f>
        <v>0</v>
      </c>
      <c r="AA507" s="517"/>
      <c r="AB507" s="504"/>
      <c r="AC507" s="461">
        <f>AA507*Payroll!$O$19/(50*5*8/12)</f>
        <v>0</v>
      </c>
      <c r="AD507" s="517"/>
      <c r="AE507" s="504"/>
      <c r="AF507" s="461">
        <f>AD507*Payroll!$O$19/(50*5*8/12)</f>
        <v>0</v>
      </c>
      <c r="AG507" s="517"/>
      <c r="AH507" s="504"/>
      <c r="AI507" s="461">
        <f>AG507*Payroll!$O$19/(50*5*8/12)</f>
        <v>0</v>
      </c>
      <c r="AJ507" s="517"/>
      <c r="AK507" s="504"/>
      <c r="AL507" s="461">
        <f>AJ507*Payroll!$O$19/(50*5*8/12)</f>
        <v>0</v>
      </c>
      <c r="AN507" s="114" t="s">
        <v>745</v>
      </c>
      <c r="AO507" s="446">
        <f>SUM(A517,A518,A519,A524,A526,A527,A528,A530)</f>
        <v>35400</v>
      </c>
    </row>
    <row r="508" spans="1:41" x14ac:dyDescent="0.35">
      <c r="A508" s="471">
        <f>SUM(E508,H508,K508,N508,Q508,T508,W508,Z508,AC508,AF508,AI508,AL508)</f>
        <v>49308.480000000003</v>
      </c>
      <c r="B508" s="506">
        <f>Payroll!B477</f>
        <v>0</v>
      </c>
      <c r="C508" s="517">
        <v>120</v>
      </c>
      <c r="D508" s="504"/>
      <c r="E508" s="461">
        <f>C508*Payroll!$O$19/(50*5*8/12)</f>
        <v>4109.04</v>
      </c>
      <c r="F508" s="517">
        <v>120</v>
      </c>
      <c r="G508" s="504"/>
      <c r="H508" s="461">
        <f>F508*Payroll!$O$19/(50*5*8/12)</f>
        <v>4109.04</v>
      </c>
      <c r="I508" s="517">
        <v>120</v>
      </c>
      <c r="J508" s="504"/>
      <c r="K508" s="461">
        <f>I508*Payroll!$O$19/(50*5*8/12)</f>
        <v>4109.04</v>
      </c>
      <c r="L508" s="517">
        <v>120</v>
      </c>
      <c r="M508" s="504"/>
      <c r="N508" s="461">
        <f>L508*Payroll!$O$19/(50*5*8/12)</f>
        <v>4109.04</v>
      </c>
      <c r="O508" s="517">
        <v>120</v>
      </c>
      <c r="P508" s="504"/>
      <c r="Q508" s="461">
        <f>O508*Payroll!$O$19/(50*5*8/12)</f>
        <v>4109.04</v>
      </c>
      <c r="R508" s="517">
        <v>120</v>
      </c>
      <c r="S508" s="504"/>
      <c r="T508" s="461">
        <f>R508*Payroll!$O$19/(50*5*8/12)</f>
        <v>4109.04</v>
      </c>
      <c r="U508" s="517">
        <v>120</v>
      </c>
      <c r="V508" s="504"/>
      <c r="W508" s="461">
        <f>U508*Payroll!$O$19/(50*5*8/12)</f>
        <v>4109.04</v>
      </c>
      <c r="X508" s="517">
        <v>120</v>
      </c>
      <c r="Y508" s="504"/>
      <c r="Z508" s="461">
        <f>X508*Payroll!$O$19/(50*5*8/12)</f>
        <v>4109.04</v>
      </c>
      <c r="AA508" s="517">
        <v>120</v>
      </c>
      <c r="AB508" s="504"/>
      <c r="AC508" s="461">
        <f>AA508*Payroll!$O$19/(50*5*8/12)</f>
        <v>4109.04</v>
      </c>
      <c r="AD508" s="517">
        <v>120</v>
      </c>
      <c r="AE508" s="504"/>
      <c r="AF508" s="461">
        <f>AD508*Payroll!$O$19/(50*5*8/12)</f>
        <v>4109.04</v>
      </c>
      <c r="AG508" s="517">
        <v>120</v>
      </c>
      <c r="AH508" s="504"/>
      <c r="AI508" s="461">
        <f>AG508*Payroll!$O$19/(50*5*8/12)</f>
        <v>4109.04</v>
      </c>
      <c r="AJ508" s="517">
        <v>120</v>
      </c>
      <c r="AK508" s="504"/>
      <c r="AL508" s="461">
        <f>AJ508*Payroll!$O$19/(50*5*8/12)</f>
        <v>4109.04</v>
      </c>
      <c r="AN508" s="114" t="s">
        <v>746</v>
      </c>
      <c r="AO508" s="446">
        <f>SUM(A518,A520,A522,A523,A531)</f>
        <v>15050</v>
      </c>
    </row>
    <row r="509" spans="1:41" x14ac:dyDescent="0.35">
      <c r="A509" s="471">
        <f>SUM(E509,H509,K509,N509,Q509,T509,W509,Z509,AC509,AF509,AI509,AL509)</f>
        <v>0</v>
      </c>
      <c r="B509" s="506">
        <f>Payroll!B478</f>
        <v>0</v>
      </c>
      <c r="C509" s="517"/>
      <c r="D509" s="504"/>
      <c r="E509" s="461">
        <f>C509*Payroll!$O$19/(50*5*8/12)</f>
        <v>0</v>
      </c>
      <c r="F509" s="517"/>
      <c r="G509" s="504"/>
      <c r="H509" s="461">
        <f>F509*Payroll!$O$19/(50*5*8/12)</f>
        <v>0</v>
      </c>
      <c r="I509" s="517"/>
      <c r="J509" s="504"/>
      <c r="K509" s="461">
        <f>I509*Payroll!$O$19/(50*5*8/12)</f>
        <v>0</v>
      </c>
      <c r="L509" s="517"/>
      <c r="M509" s="504"/>
      <c r="N509" s="461">
        <f>L509*Payroll!$O$19/(50*5*8/12)</f>
        <v>0</v>
      </c>
      <c r="O509" s="517"/>
      <c r="P509" s="504"/>
      <c r="Q509" s="461">
        <f>O509*Payroll!$O$19/(50*5*8/12)</f>
        <v>0</v>
      </c>
      <c r="R509" s="517"/>
      <c r="S509" s="504"/>
      <c r="T509" s="461">
        <f>R509*Payroll!$O$19/(50*5*8/12)</f>
        <v>0</v>
      </c>
      <c r="U509" s="517"/>
      <c r="V509" s="504"/>
      <c r="W509" s="461">
        <f>U509*Payroll!$O$19/(50*5*8/12)</f>
        <v>0</v>
      </c>
      <c r="X509" s="517"/>
      <c r="Y509" s="504"/>
      <c r="Z509" s="461">
        <f>X509*Payroll!$O$19/(50*5*8/12)</f>
        <v>0</v>
      </c>
      <c r="AA509" s="517"/>
      <c r="AB509" s="504"/>
      <c r="AC509" s="461">
        <f>AA509*Payroll!$O$19/(50*5*8/12)</f>
        <v>0</v>
      </c>
      <c r="AD509" s="517"/>
      <c r="AE509" s="504"/>
      <c r="AF509" s="461">
        <f>AD509*Payroll!$O$19/(50*5*8/12)</f>
        <v>0</v>
      </c>
      <c r="AG509" s="517"/>
      <c r="AH509" s="504"/>
      <c r="AI509" s="461">
        <f>AG509*Payroll!$O$19/(50*5*8/12)</f>
        <v>0</v>
      </c>
      <c r="AJ509" s="517"/>
      <c r="AK509" s="504"/>
      <c r="AL509" s="461">
        <f>AJ509*Payroll!$O$19/(50*5*8/12)</f>
        <v>0</v>
      </c>
      <c r="AN509" s="114" t="s">
        <v>747</v>
      </c>
      <c r="AO509" s="446">
        <f>SUM(A521,A516,A529)</f>
        <v>8400</v>
      </c>
    </row>
    <row r="510" spans="1:41" x14ac:dyDescent="0.35">
      <c r="A510" s="471">
        <f>SUM(E510,H510,K510,N510,Q510,T510,W510,Z510,AC510,AF510,AI510,AL510)</f>
        <v>0</v>
      </c>
      <c r="B510" s="506">
        <f>Payroll!B479</f>
        <v>0</v>
      </c>
      <c r="C510" s="517"/>
      <c r="D510" s="504"/>
      <c r="E510" s="461">
        <f>C510*Payroll!$O$19/(50*5*8/12)</f>
        <v>0</v>
      </c>
      <c r="F510" s="517"/>
      <c r="G510" s="504"/>
      <c r="H510" s="461">
        <f>F510*Payroll!$O$19/(50*5*8/12)</f>
        <v>0</v>
      </c>
      <c r="I510" s="517"/>
      <c r="J510" s="504"/>
      <c r="K510" s="461">
        <f>I510*Payroll!$O$19/(50*5*8/12)</f>
        <v>0</v>
      </c>
      <c r="L510" s="517"/>
      <c r="M510" s="504"/>
      <c r="N510" s="461">
        <f>L510*Payroll!$O$19/(50*5*8/12)</f>
        <v>0</v>
      </c>
      <c r="O510" s="517"/>
      <c r="P510" s="504"/>
      <c r="Q510" s="461">
        <f>O510*Payroll!$O$19/(50*5*8/12)</f>
        <v>0</v>
      </c>
      <c r="R510" s="517"/>
      <c r="S510" s="504"/>
      <c r="T510" s="461">
        <f>R510*Payroll!$O$19/(50*5*8/12)</f>
        <v>0</v>
      </c>
      <c r="U510" s="517"/>
      <c r="V510" s="504"/>
      <c r="W510" s="461">
        <f>U510*Payroll!$O$19/(50*5*8/12)</f>
        <v>0</v>
      </c>
      <c r="X510" s="517"/>
      <c r="Y510" s="504"/>
      <c r="Z510" s="461">
        <f>X510*Payroll!$O$19/(50*5*8/12)</f>
        <v>0</v>
      </c>
      <c r="AA510" s="517"/>
      <c r="AB510" s="504"/>
      <c r="AC510" s="461">
        <f>AA510*Payroll!$O$19/(50*5*8/12)</f>
        <v>0</v>
      </c>
      <c r="AD510" s="517"/>
      <c r="AE510" s="504"/>
      <c r="AF510" s="461">
        <f>AD510*Payroll!$O$19/(50*5*8/12)</f>
        <v>0</v>
      </c>
      <c r="AG510" s="517"/>
      <c r="AH510" s="504"/>
      <c r="AI510" s="461">
        <f>AG510*Payroll!$O$19/(50*5*8/12)</f>
        <v>0</v>
      </c>
      <c r="AJ510" s="517"/>
      <c r="AK510" s="504"/>
      <c r="AL510" s="461">
        <f>AJ510*Payroll!$O$19/(50*5*8/12)</f>
        <v>0</v>
      </c>
    </row>
    <row r="511" spans="1:41" x14ac:dyDescent="0.35">
      <c r="A511" s="471">
        <f t="shared" ref="A511:A512" si="30">SUM(E511,H511,K511,N511,Q511,T511,W511,Z511,AC511,AF511,AI511,AL511)</f>
        <v>0</v>
      </c>
      <c r="B511" s="506">
        <f>Payroll!B480</f>
        <v>0</v>
      </c>
      <c r="C511" s="517"/>
      <c r="D511" s="504"/>
      <c r="E511" s="461">
        <f>C511*Payroll!$O$19/(50*5*8/12)</f>
        <v>0</v>
      </c>
      <c r="F511" s="517"/>
      <c r="G511" s="504"/>
      <c r="H511" s="461">
        <f>F511*Payroll!$O$19/(50*5*8/12)</f>
        <v>0</v>
      </c>
      <c r="I511" s="517"/>
      <c r="J511" s="504"/>
      <c r="K511" s="461">
        <f>I511*Payroll!$O$19/(50*5*8/12)</f>
        <v>0</v>
      </c>
      <c r="L511" s="517"/>
      <c r="M511" s="504"/>
      <c r="N511" s="461">
        <f>L511*Payroll!$O$19/(50*5*8/12)</f>
        <v>0</v>
      </c>
      <c r="O511" s="517"/>
      <c r="P511" s="504"/>
      <c r="Q511" s="461">
        <f>O511*Payroll!$O$19/(50*5*8/12)</f>
        <v>0</v>
      </c>
      <c r="R511" s="517"/>
      <c r="S511" s="504"/>
      <c r="T511" s="461">
        <f>R511*Payroll!$O$19/(50*5*8/12)</f>
        <v>0</v>
      </c>
      <c r="U511" s="517"/>
      <c r="V511" s="504"/>
      <c r="W511" s="461">
        <f>U511*Payroll!$O$19/(50*5*8/12)</f>
        <v>0</v>
      </c>
      <c r="X511" s="517"/>
      <c r="Y511" s="504"/>
      <c r="Z511" s="461">
        <f>X511*Payroll!$O$19/(50*5*8/12)</f>
        <v>0</v>
      </c>
      <c r="AA511" s="517"/>
      <c r="AB511" s="504"/>
      <c r="AC511" s="461">
        <f>AA511*Payroll!$O$19/(50*5*8/12)</f>
        <v>0</v>
      </c>
      <c r="AD511" s="517"/>
      <c r="AE511" s="504"/>
      <c r="AF511" s="461">
        <f>AD511*Payroll!$O$19/(50*5*8/12)</f>
        <v>0</v>
      </c>
      <c r="AG511" s="517"/>
      <c r="AH511" s="504"/>
      <c r="AI511" s="461">
        <f>AG511*Payroll!$O$19/(50*5*8/12)</f>
        <v>0</v>
      </c>
      <c r="AJ511" s="517"/>
      <c r="AK511" s="504"/>
      <c r="AL511" s="461">
        <f>AJ511*Payroll!$O$19/(50*5*8/12)</f>
        <v>0</v>
      </c>
    </row>
    <row r="512" spans="1:41" x14ac:dyDescent="0.35">
      <c r="A512" s="471">
        <f t="shared" si="30"/>
        <v>0</v>
      </c>
      <c r="B512" s="506">
        <f>Payroll!B481</f>
        <v>0</v>
      </c>
      <c r="C512" s="517"/>
      <c r="D512" s="504"/>
      <c r="E512" s="461">
        <f>C512*Payroll!$O$19/(50*5*8/12)</f>
        <v>0</v>
      </c>
      <c r="F512" s="517"/>
      <c r="G512" s="504"/>
      <c r="H512" s="461">
        <f>F512*Payroll!$O$19/(50*5*8/12)</f>
        <v>0</v>
      </c>
      <c r="I512" s="517"/>
      <c r="J512" s="504"/>
      <c r="K512" s="461">
        <f>I512*Payroll!$O$19/(50*5*8/12)</f>
        <v>0</v>
      </c>
      <c r="L512" s="517"/>
      <c r="M512" s="504"/>
      <c r="N512" s="461">
        <f>L512*Payroll!$O$19/(50*5*8/12)</f>
        <v>0</v>
      </c>
      <c r="O512" s="517"/>
      <c r="P512" s="504"/>
      <c r="Q512" s="461">
        <f>O512*Payroll!$O$19/(50*5*8/12)</f>
        <v>0</v>
      </c>
      <c r="R512" s="517"/>
      <c r="S512" s="504"/>
      <c r="T512" s="461">
        <f>R512*Payroll!$O$19/(50*5*8/12)</f>
        <v>0</v>
      </c>
      <c r="U512" s="517"/>
      <c r="V512" s="504"/>
      <c r="W512" s="461">
        <f>U512*Payroll!$O$19/(50*5*8/12)</f>
        <v>0</v>
      </c>
      <c r="X512" s="517"/>
      <c r="Y512" s="504"/>
      <c r="Z512" s="461">
        <f>X512*Payroll!$O$19/(50*5*8/12)</f>
        <v>0</v>
      </c>
      <c r="AA512" s="517"/>
      <c r="AB512" s="504"/>
      <c r="AC512" s="461">
        <f>AA512*Payroll!$O$19/(50*5*8/12)</f>
        <v>0</v>
      </c>
      <c r="AD512" s="517"/>
      <c r="AE512" s="504"/>
      <c r="AF512" s="461">
        <f>AD512*Payroll!$O$19/(50*5*8/12)</f>
        <v>0</v>
      </c>
      <c r="AG512" s="517"/>
      <c r="AH512" s="504"/>
      <c r="AI512" s="461">
        <f>AG512*Payroll!$O$19/(50*5*8/12)</f>
        <v>0</v>
      </c>
      <c r="AJ512" s="517"/>
      <c r="AK512" s="504"/>
      <c r="AL512" s="461">
        <f>AJ512*Payroll!$O$19/(50*5*8/12)</f>
        <v>0</v>
      </c>
    </row>
    <row r="513" spans="1:38" x14ac:dyDescent="0.35">
      <c r="A513" s="469">
        <f>SUM(E513,H513,K513,N513,Q513,T513,W513,Z513,AC513,AF513,AI513,AL513)</f>
        <v>98616.960000000006</v>
      </c>
      <c r="B513" s="509" t="s">
        <v>732</v>
      </c>
      <c r="C513" s="516">
        <f>SUM(C506:C510)</f>
        <v>240</v>
      </c>
      <c r="D513" s="511"/>
      <c r="E513" s="510">
        <f>SUM(E506:E512)</f>
        <v>8218.08</v>
      </c>
      <c r="F513" s="516">
        <f>SUM(F506:F510)</f>
        <v>240</v>
      </c>
      <c r="G513" s="511"/>
      <c r="H513" s="510">
        <f>SUM(H506:H512)</f>
        <v>8218.08</v>
      </c>
      <c r="I513" s="516">
        <f>SUM(I506:I510)</f>
        <v>240</v>
      </c>
      <c r="J513" s="511"/>
      <c r="K513" s="510">
        <f>SUM(K506:K512)</f>
        <v>8218.08</v>
      </c>
      <c r="L513" s="516">
        <f>SUM(L506:L510)</f>
        <v>240</v>
      </c>
      <c r="M513" s="511"/>
      <c r="N513" s="510">
        <f>SUM(N506:N512)</f>
        <v>8218.08</v>
      </c>
      <c r="O513" s="516">
        <f>SUM(O506:O510)</f>
        <v>240</v>
      </c>
      <c r="P513" s="511"/>
      <c r="Q513" s="510">
        <f>SUM(Q506:Q512)</f>
        <v>8218.08</v>
      </c>
      <c r="R513" s="516">
        <f>SUM(R506:R510)</f>
        <v>240</v>
      </c>
      <c r="S513" s="511"/>
      <c r="T513" s="510">
        <f>SUM(T506:T512)</f>
        <v>8218.08</v>
      </c>
      <c r="U513" s="516">
        <f>SUM(U506:U510)</f>
        <v>240</v>
      </c>
      <c r="V513" s="511"/>
      <c r="W513" s="510">
        <f>SUM(W506:W512)</f>
        <v>8218.08</v>
      </c>
      <c r="X513" s="516">
        <f>SUM(X506:X510)</f>
        <v>240</v>
      </c>
      <c r="Y513" s="511"/>
      <c r="Z513" s="510">
        <f>SUM(Z506:Z512)</f>
        <v>8218.08</v>
      </c>
      <c r="AA513" s="516">
        <f>SUM(AA506:AA510)</f>
        <v>240</v>
      </c>
      <c r="AB513" s="511"/>
      <c r="AC513" s="510">
        <f>SUM(AC506:AC512)</f>
        <v>8218.08</v>
      </c>
      <c r="AD513" s="516">
        <f>SUM(AD506:AD510)</f>
        <v>240</v>
      </c>
      <c r="AE513" s="511"/>
      <c r="AF513" s="510">
        <f>SUM(AF506:AF512)</f>
        <v>8218.08</v>
      </c>
      <c r="AG513" s="516">
        <f>SUM(AG506:AG510)</f>
        <v>240</v>
      </c>
      <c r="AH513" s="511"/>
      <c r="AI513" s="510">
        <f>SUM(AI506:AI512)</f>
        <v>8218.08</v>
      </c>
      <c r="AJ513" s="516">
        <f>SUM(AJ506:AJ510)</f>
        <v>240</v>
      </c>
      <c r="AK513" s="511"/>
      <c r="AL513" s="510">
        <f>SUM(AL506:AL512)</f>
        <v>8218.08</v>
      </c>
    </row>
    <row r="515" spans="1:38" x14ac:dyDescent="0.35">
      <c r="A515" s="507" t="s">
        <v>653</v>
      </c>
      <c r="B515" s="508" t="s">
        <v>733</v>
      </c>
      <c r="C515" s="544" t="s">
        <v>654</v>
      </c>
      <c r="D515" s="545"/>
      <c r="E515" s="477" t="s">
        <v>320</v>
      </c>
      <c r="F515" s="544" t="s">
        <v>654</v>
      </c>
      <c r="G515" s="545"/>
      <c r="H515" s="477" t="s">
        <v>320</v>
      </c>
      <c r="I515" s="544" t="s">
        <v>654</v>
      </c>
      <c r="J515" s="545"/>
      <c r="K515" s="477" t="s">
        <v>320</v>
      </c>
      <c r="L515" s="544" t="s">
        <v>654</v>
      </c>
      <c r="M515" s="545"/>
      <c r="N515" s="477" t="s">
        <v>320</v>
      </c>
      <c r="O515" s="544" t="s">
        <v>654</v>
      </c>
      <c r="P515" s="545"/>
      <c r="Q515" s="477" t="s">
        <v>320</v>
      </c>
      <c r="R515" s="544" t="s">
        <v>654</v>
      </c>
      <c r="S515" s="545"/>
      <c r="T515" s="477" t="s">
        <v>320</v>
      </c>
      <c r="U515" s="544" t="s">
        <v>654</v>
      </c>
      <c r="V515" s="545"/>
      <c r="W515" s="477" t="s">
        <v>320</v>
      </c>
      <c r="X515" s="544" t="s">
        <v>654</v>
      </c>
      <c r="Y515" s="545"/>
      <c r="Z515" s="477" t="s">
        <v>320</v>
      </c>
      <c r="AA515" s="544" t="s">
        <v>654</v>
      </c>
      <c r="AB515" s="545"/>
      <c r="AC515" s="477" t="s">
        <v>320</v>
      </c>
      <c r="AD515" s="544" t="s">
        <v>654</v>
      </c>
      <c r="AE515" s="545"/>
      <c r="AF515" s="477" t="s">
        <v>320</v>
      </c>
      <c r="AG515" s="544" t="s">
        <v>654</v>
      </c>
      <c r="AH515" s="545"/>
      <c r="AI515" s="477" t="s">
        <v>320</v>
      </c>
      <c r="AJ515" s="544" t="s">
        <v>654</v>
      </c>
      <c r="AK515" s="545"/>
      <c r="AL515" s="477" t="s">
        <v>320</v>
      </c>
    </row>
    <row r="516" spans="1:38" x14ac:dyDescent="0.35">
      <c r="A516" s="471">
        <f>SUM(E516,H516,K516,N516,Q516,T516,W516,Z516,AC516,AF516,AI516,AL516)</f>
        <v>2400</v>
      </c>
      <c r="B516" s="506" t="s">
        <v>639</v>
      </c>
      <c r="C516" s="541"/>
      <c r="D516" s="542"/>
      <c r="E516" s="518">
        <v>200</v>
      </c>
      <c r="F516" s="541"/>
      <c r="G516" s="542"/>
      <c r="H516" s="518">
        <v>200</v>
      </c>
      <c r="I516" s="541"/>
      <c r="J516" s="542"/>
      <c r="K516" s="518">
        <v>200</v>
      </c>
      <c r="L516" s="541"/>
      <c r="M516" s="542"/>
      <c r="N516" s="518">
        <v>200</v>
      </c>
      <c r="O516" s="541"/>
      <c r="P516" s="542"/>
      <c r="Q516" s="518">
        <v>200</v>
      </c>
      <c r="R516" s="541"/>
      <c r="S516" s="542"/>
      <c r="T516" s="518">
        <v>200</v>
      </c>
      <c r="U516" s="541"/>
      <c r="V516" s="542"/>
      <c r="W516" s="518">
        <v>200</v>
      </c>
      <c r="X516" s="541"/>
      <c r="Y516" s="542"/>
      <c r="Z516" s="518">
        <v>200</v>
      </c>
      <c r="AA516" s="541"/>
      <c r="AB516" s="542"/>
      <c r="AC516" s="518">
        <v>200</v>
      </c>
      <c r="AD516" s="541"/>
      <c r="AE516" s="542"/>
      <c r="AF516" s="518">
        <v>200</v>
      </c>
      <c r="AG516" s="541"/>
      <c r="AH516" s="542"/>
      <c r="AI516" s="518">
        <v>200</v>
      </c>
      <c r="AJ516" s="541"/>
      <c r="AK516" s="542"/>
      <c r="AL516" s="518">
        <v>200</v>
      </c>
    </row>
    <row r="517" spans="1:38" x14ac:dyDescent="0.35">
      <c r="A517" s="471">
        <f t="shared" ref="A517:A521" si="31">SUM(E517,H517,K517,N517,Q517,T517,W517,Z517,AC517,AF517,AI517,AL517)</f>
        <v>0</v>
      </c>
      <c r="B517" s="506" t="s">
        <v>640</v>
      </c>
      <c r="C517" s="541"/>
      <c r="D517" s="542"/>
      <c r="E517" s="518"/>
      <c r="F517" s="541"/>
      <c r="G517" s="542"/>
      <c r="H517" s="518"/>
      <c r="I517" s="541"/>
      <c r="J517" s="542"/>
      <c r="K517" s="518"/>
      <c r="L517" s="541"/>
      <c r="M517" s="542"/>
      <c r="N517" s="518"/>
      <c r="O517" s="541"/>
      <c r="P517" s="542"/>
      <c r="Q517" s="518"/>
      <c r="R517" s="541"/>
      <c r="S517" s="542"/>
      <c r="T517" s="518"/>
      <c r="U517" s="541"/>
      <c r="V517" s="542"/>
      <c r="W517" s="518"/>
      <c r="X517" s="541"/>
      <c r="Y517" s="542"/>
      <c r="Z517" s="518"/>
      <c r="AA517" s="541"/>
      <c r="AB517" s="542"/>
      <c r="AC517" s="518"/>
      <c r="AD517" s="541"/>
      <c r="AE517" s="542"/>
      <c r="AF517" s="518"/>
      <c r="AG517" s="541"/>
      <c r="AH517" s="542"/>
      <c r="AI517" s="518"/>
      <c r="AJ517" s="541"/>
      <c r="AK517" s="542"/>
      <c r="AL517" s="518"/>
    </row>
    <row r="518" spans="1:38" x14ac:dyDescent="0.35">
      <c r="A518" s="471">
        <f t="shared" si="31"/>
        <v>0</v>
      </c>
      <c r="B518" s="506" t="s">
        <v>641</v>
      </c>
      <c r="C518" s="541"/>
      <c r="D518" s="542"/>
      <c r="E518" s="518"/>
      <c r="F518" s="541"/>
      <c r="G518" s="542"/>
      <c r="H518" s="518"/>
      <c r="I518" s="541"/>
      <c r="J518" s="542"/>
      <c r="K518" s="518"/>
      <c r="L518" s="541"/>
      <c r="M518" s="542"/>
      <c r="N518" s="518"/>
      <c r="O518" s="541"/>
      <c r="P518" s="542"/>
      <c r="Q518" s="518"/>
      <c r="R518" s="541"/>
      <c r="S518" s="542"/>
      <c r="T518" s="518"/>
      <c r="U518" s="541"/>
      <c r="V518" s="542"/>
      <c r="W518" s="518"/>
      <c r="X518" s="541"/>
      <c r="Y518" s="542"/>
      <c r="Z518" s="518"/>
      <c r="AA518" s="541"/>
      <c r="AB518" s="542"/>
      <c r="AC518" s="518"/>
      <c r="AD518" s="541"/>
      <c r="AE518" s="542"/>
      <c r="AF518" s="518"/>
      <c r="AG518" s="541"/>
      <c r="AH518" s="542"/>
      <c r="AI518" s="518"/>
      <c r="AJ518" s="541"/>
      <c r="AK518" s="542"/>
      <c r="AL518" s="518"/>
    </row>
    <row r="519" spans="1:38" x14ac:dyDescent="0.35">
      <c r="A519" s="471">
        <f t="shared" si="31"/>
        <v>7200</v>
      </c>
      <c r="B519" s="506" t="s">
        <v>642</v>
      </c>
      <c r="C519" s="541"/>
      <c r="D519" s="542"/>
      <c r="E519" s="518">
        <v>600</v>
      </c>
      <c r="F519" s="543"/>
      <c r="G519" s="542"/>
      <c r="H519" s="518">
        <f>E519</f>
        <v>600</v>
      </c>
      <c r="I519" s="543"/>
      <c r="J519" s="542"/>
      <c r="K519" s="518">
        <f>H519</f>
        <v>600</v>
      </c>
      <c r="L519" s="543"/>
      <c r="M519" s="542"/>
      <c r="N519" s="518">
        <f>K519</f>
        <v>600</v>
      </c>
      <c r="O519" s="543"/>
      <c r="P519" s="542"/>
      <c r="Q519" s="518">
        <f>N519</f>
        <v>600</v>
      </c>
      <c r="R519" s="543"/>
      <c r="S519" s="542"/>
      <c r="T519" s="518">
        <f>Q519</f>
        <v>600</v>
      </c>
      <c r="U519" s="543"/>
      <c r="V519" s="542"/>
      <c r="W519" s="518">
        <f>T519</f>
        <v>600</v>
      </c>
      <c r="X519" s="543"/>
      <c r="Y519" s="542"/>
      <c r="Z519" s="518">
        <f>W519</f>
        <v>600</v>
      </c>
      <c r="AA519" s="543"/>
      <c r="AB519" s="542"/>
      <c r="AC519" s="518">
        <f>Z519</f>
        <v>600</v>
      </c>
      <c r="AD519" s="543"/>
      <c r="AE519" s="542"/>
      <c r="AF519" s="518">
        <f>AC519</f>
        <v>600</v>
      </c>
      <c r="AG519" s="543"/>
      <c r="AH519" s="542"/>
      <c r="AI519" s="518">
        <f>AF519</f>
        <v>600</v>
      </c>
      <c r="AJ519" s="543"/>
      <c r="AK519" s="542"/>
      <c r="AL519" s="518">
        <f>AI519</f>
        <v>600</v>
      </c>
    </row>
    <row r="520" spans="1:38" x14ac:dyDescent="0.35">
      <c r="A520" s="471">
        <f t="shared" si="31"/>
        <v>6000</v>
      </c>
      <c r="B520" s="506" t="s">
        <v>643</v>
      </c>
      <c r="C520" s="541"/>
      <c r="D520" s="542"/>
      <c r="E520" s="518">
        <f>(3000+3000)/12</f>
        <v>500</v>
      </c>
      <c r="F520" s="543"/>
      <c r="G520" s="542"/>
      <c r="H520" s="518">
        <f>$E520</f>
        <v>500</v>
      </c>
      <c r="I520" s="543"/>
      <c r="J520" s="542"/>
      <c r="K520" s="518">
        <f>$E520</f>
        <v>500</v>
      </c>
      <c r="L520" s="543"/>
      <c r="M520" s="542"/>
      <c r="N520" s="518">
        <f>$E520</f>
        <v>500</v>
      </c>
      <c r="O520" s="543"/>
      <c r="P520" s="542"/>
      <c r="Q520" s="518">
        <f>$E520</f>
        <v>500</v>
      </c>
      <c r="R520" s="543"/>
      <c r="S520" s="542"/>
      <c r="T520" s="518">
        <f>$E520</f>
        <v>500</v>
      </c>
      <c r="U520" s="543"/>
      <c r="V520" s="542"/>
      <c r="W520" s="518">
        <f>$E520</f>
        <v>500</v>
      </c>
      <c r="X520" s="543"/>
      <c r="Y520" s="542"/>
      <c r="Z520" s="518">
        <f>$E520</f>
        <v>500</v>
      </c>
      <c r="AA520" s="543"/>
      <c r="AB520" s="542"/>
      <c r="AC520" s="518">
        <f>$E520</f>
        <v>500</v>
      </c>
      <c r="AD520" s="543"/>
      <c r="AE520" s="542"/>
      <c r="AF520" s="518">
        <f>$E520</f>
        <v>500</v>
      </c>
      <c r="AG520" s="543"/>
      <c r="AH520" s="542"/>
      <c r="AI520" s="518">
        <f>$E520</f>
        <v>500</v>
      </c>
      <c r="AJ520" s="543"/>
      <c r="AK520" s="542"/>
      <c r="AL520" s="518">
        <f>$E520</f>
        <v>500</v>
      </c>
    </row>
    <row r="521" spans="1:38" x14ac:dyDescent="0.35">
      <c r="A521" s="471">
        <f t="shared" si="31"/>
        <v>6000</v>
      </c>
      <c r="B521" s="506" t="s">
        <v>644</v>
      </c>
      <c r="C521" s="541"/>
      <c r="D521" s="542"/>
      <c r="E521" s="518">
        <v>500</v>
      </c>
      <c r="F521" s="541"/>
      <c r="G521" s="542"/>
      <c r="H521" s="518">
        <v>500</v>
      </c>
      <c r="I521" s="541"/>
      <c r="J521" s="542"/>
      <c r="K521" s="518">
        <v>500</v>
      </c>
      <c r="L521" s="541"/>
      <c r="M521" s="542"/>
      <c r="N521" s="518">
        <v>500</v>
      </c>
      <c r="O521" s="541"/>
      <c r="P521" s="542"/>
      <c r="Q521" s="518">
        <v>500</v>
      </c>
      <c r="R521" s="541"/>
      <c r="S521" s="542"/>
      <c r="T521" s="518">
        <v>500</v>
      </c>
      <c r="U521" s="541"/>
      <c r="V521" s="542"/>
      <c r="W521" s="518">
        <v>500</v>
      </c>
      <c r="X521" s="541"/>
      <c r="Y521" s="542"/>
      <c r="Z521" s="518">
        <v>500</v>
      </c>
      <c r="AA521" s="541"/>
      <c r="AB521" s="542"/>
      <c r="AC521" s="518">
        <v>500</v>
      </c>
      <c r="AD521" s="541"/>
      <c r="AE521" s="542"/>
      <c r="AF521" s="518">
        <v>500</v>
      </c>
      <c r="AG521" s="541"/>
      <c r="AH521" s="542"/>
      <c r="AI521" s="518">
        <v>500</v>
      </c>
      <c r="AJ521" s="541"/>
      <c r="AK521" s="542"/>
      <c r="AL521" s="518">
        <v>500</v>
      </c>
    </row>
    <row r="522" spans="1:38" x14ac:dyDescent="0.35">
      <c r="A522" s="471"/>
      <c r="B522" s="506" t="s">
        <v>658</v>
      </c>
      <c r="C522" s="541"/>
      <c r="D522" s="542"/>
      <c r="E522" s="518">
        <v>750</v>
      </c>
      <c r="F522" s="543"/>
      <c r="G522" s="542"/>
      <c r="H522" s="518">
        <f>E522</f>
        <v>750</v>
      </c>
      <c r="I522" s="543"/>
      <c r="J522" s="542"/>
      <c r="K522" s="518">
        <f>H522</f>
        <v>750</v>
      </c>
      <c r="L522" s="543"/>
      <c r="M522" s="542"/>
      <c r="N522" s="518">
        <f>K522</f>
        <v>750</v>
      </c>
      <c r="O522" s="543"/>
      <c r="P522" s="542"/>
      <c r="Q522" s="518">
        <f>N522</f>
        <v>750</v>
      </c>
      <c r="R522" s="543"/>
      <c r="S522" s="542"/>
      <c r="T522" s="518">
        <f>Q522</f>
        <v>750</v>
      </c>
      <c r="U522" s="543"/>
      <c r="V522" s="542"/>
      <c r="W522" s="518">
        <f>T522</f>
        <v>750</v>
      </c>
      <c r="X522" s="543"/>
      <c r="Y522" s="542"/>
      <c r="Z522" s="518">
        <f>W522</f>
        <v>750</v>
      </c>
      <c r="AA522" s="543"/>
      <c r="AB522" s="542"/>
      <c r="AC522" s="518">
        <f>Z522</f>
        <v>750</v>
      </c>
      <c r="AD522" s="543"/>
      <c r="AE522" s="542"/>
      <c r="AF522" s="518">
        <f>AC522</f>
        <v>750</v>
      </c>
      <c r="AG522" s="543"/>
      <c r="AH522" s="542"/>
      <c r="AI522" s="518">
        <f>AF522</f>
        <v>750</v>
      </c>
      <c r="AJ522" s="543"/>
      <c r="AK522" s="542"/>
      <c r="AL522" s="518">
        <f>AI522</f>
        <v>750</v>
      </c>
    </row>
    <row r="523" spans="1:38" x14ac:dyDescent="0.35">
      <c r="A523" s="471">
        <f t="shared" ref="A523:A531" si="32">SUM(E523,H523,K523,N523,Q523,T523,W523,Z523,AC523,AF523,AI523,AL523)</f>
        <v>3050</v>
      </c>
      <c r="B523" s="506" t="s">
        <v>657</v>
      </c>
      <c r="C523" s="541"/>
      <c r="D523" s="542"/>
      <c r="E523" s="518">
        <f>1000+1000+250</f>
        <v>2250</v>
      </c>
      <c r="F523" s="541"/>
      <c r="G523" s="542"/>
      <c r="H523" s="518"/>
      <c r="I523" s="541"/>
      <c r="J523" s="542"/>
      <c r="K523" s="518">
        <v>200</v>
      </c>
      <c r="L523" s="541"/>
      <c r="M523" s="542"/>
      <c r="N523" s="518"/>
      <c r="O523" s="541"/>
      <c r="P523" s="542"/>
      <c r="Q523" s="518"/>
      <c r="R523" s="541"/>
      <c r="S523" s="542"/>
      <c r="T523" s="518">
        <v>200</v>
      </c>
      <c r="U523" s="541"/>
      <c r="V523" s="542"/>
      <c r="W523" s="518"/>
      <c r="X523" s="541"/>
      <c r="Y523" s="542"/>
      <c r="Z523" s="518"/>
      <c r="AA523" s="541"/>
      <c r="AB523" s="542"/>
      <c r="AC523" s="518">
        <v>200</v>
      </c>
      <c r="AD523" s="541"/>
      <c r="AE523" s="542"/>
      <c r="AF523" s="518"/>
      <c r="AG523" s="541"/>
      <c r="AH523" s="542"/>
      <c r="AI523" s="518"/>
      <c r="AJ523" s="541"/>
      <c r="AK523" s="542"/>
      <c r="AL523" s="518">
        <v>200</v>
      </c>
    </row>
    <row r="524" spans="1:38" x14ac:dyDescent="0.35">
      <c r="A524" s="471">
        <f t="shared" si="32"/>
        <v>1200</v>
      </c>
      <c r="B524" s="506" t="s">
        <v>645</v>
      </c>
      <c r="C524" s="541"/>
      <c r="D524" s="542"/>
      <c r="E524" s="518">
        <v>100</v>
      </c>
      <c r="F524" s="541"/>
      <c r="G524" s="542"/>
      <c r="H524" s="518">
        <v>100</v>
      </c>
      <c r="I524" s="541"/>
      <c r="J524" s="542"/>
      <c r="K524" s="518">
        <v>100</v>
      </c>
      <c r="L524" s="541"/>
      <c r="M524" s="542"/>
      <c r="N524" s="518">
        <v>100</v>
      </c>
      <c r="O524" s="541"/>
      <c r="P524" s="542"/>
      <c r="Q524" s="518">
        <v>100</v>
      </c>
      <c r="R524" s="541"/>
      <c r="S524" s="542"/>
      <c r="T524" s="518">
        <v>100</v>
      </c>
      <c r="U524" s="541"/>
      <c r="V524" s="542"/>
      <c r="W524" s="518">
        <v>100</v>
      </c>
      <c r="X524" s="541"/>
      <c r="Y524" s="542"/>
      <c r="Z524" s="518">
        <v>100</v>
      </c>
      <c r="AA524" s="541"/>
      <c r="AB524" s="542"/>
      <c r="AC524" s="518">
        <v>100</v>
      </c>
      <c r="AD524" s="541"/>
      <c r="AE524" s="542"/>
      <c r="AF524" s="518">
        <v>100</v>
      </c>
      <c r="AG524" s="541"/>
      <c r="AH524" s="542"/>
      <c r="AI524" s="518">
        <v>100</v>
      </c>
      <c r="AJ524" s="541"/>
      <c r="AK524" s="542"/>
      <c r="AL524" s="518">
        <v>100</v>
      </c>
    </row>
    <row r="525" spans="1:38" x14ac:dyDescent="0.35">
      <c r="A525" s="471">
        <f t="shared" si="32"/>
        <v>0</v>
      </c>
      <c r="B525" s="506" t="s">
        <v>646</v>
      </c>
      <c r="C525" s="541"/>
      <c r="D525" s="542"/>
      <c r="E525" s="518"/>
      <c r="F525" s="541"/>
      <c r="G525" s="542"/>
      <c r="H525" s="518"/>
      <c r="I525" s="541"/>
      <c r="J525" s="542"/>
      <c r="K525" s="518"/>
      <c r="L525" s="541"/>
      <c r="M525" s="542"/>
      <c r="N525" s="518"/>
      <c r="O525" s="541"/>
      <c r="P525" s="542"/>
      <c r="Q525" s="518"/>
      <c r="R525" s="541"/>
      <c r="S525" s="542"/>
      <c r="T525" s="518"/>
      <c r="U525" s="541"/>
      <c r="V525" s="542"/>
      <c r="W525" s="518"/>
      <c r="X525" s="541"/>
      <c r="Y525" s="542"/>
      <c r="Z525" s="518"/>
      <c r="AA525" s="541"/>
      <c r="AB525" s="542"/>
      <c r="AC525" s="518"/>
      <c r="AD525" s="541"/>
      <c r="AE525" s="542"/>
      <c r="AF525" s="518"/>
      <c r="AG525" s="541"/>
      <c r="AH525" s="542"/>
      <c r="AI525" s="518"/>
      <c r="AJ525" s="541"/>
      <c r="AK525" s="542"/>
      <c r="AL525" s="518"/>
    </row>
    <row r="526" spans="1:38" x14ac:dyDescent="0.35">
      <c r="A526" s="471">
        <f t="shared" si="32"/>
        <v>0</v>
      </c>
      <c r="B526" s="506" t="s">
        <v>647</v>
      </c>
      <c r="C526" s="541"/>
      <c r="D526" s="542"/>
      <c r="E526" s="518"/>
      <c r="F526" s="541"/>
      <c r="G526" s="542"/>
      <c r="H526" s="518"/>
      <c r="I526" s="541"/>
      <c r="J526" s="542"/>
      <c r="K526" s="518"/>
      <c r="L526" s="541"/>
      <c r="M526" s="542"/>
      <c r="N526" s="518"/>
      <c r="O526" s="541"/>
      <c r="P526" s="542"/>
      <c r="Q526" s="518"/>
      <c r="R526" s="541"/>
      <c r="S526" s="542"/>
      <c r="T526" s="518"/>
      <c r="U526" s="541"/>
      <c r="V526" s="542"/>
      <c r="W526" s="518"/>
      <c r="X526" s="541"/>
      <c r="Y526" s="542"/>
      <c r="Z526" s="518"/>
      <c r="AA526" s="541"/>
      <c r="AB526" s="542"/>
      <c r="AC526" s="518"/>
      <c r="AD526" s="541"/>
      <c r="AE526" s="542"/>
      <c r="AF526" s="518"/>
      <c r="AG526" s="541"/>
      <c r="AH526" s="542"/>
      <c r="AI526" s="518"/>
      <c r="AJ526" s="541"/>
      <c r="AK526" s="542"/>
      <c r="AL526" s="518"/>
    </row>
    <row r="527" spans="1:38" x14ac:dyDescent="0.35">
      <c r="A527" s="471">
        <f t="shared" si="32"/>
        <v>2400</v>
      </c>
      <c r="B527" s="506" t="s">
        <v>648</v>
      </c>
      <c r="C527" s="541"/>
      <c r="D527" s="542"/>
      <c r="E527" s="518">
        <v>200</v>
      </c>
      <c r="F527" s="541"/>
      <c r="G527" s="542"/>
      <c r="H527" s="518">
        <v>200</v>
      </c>
      <c r="I527" s="541"/>
      <c r="J527" s="542"/>
      <c r="K527" s="518">
        <v>200</v>
      </c>
      <c r="L527" s="541"/>
      <c r="M527" s="542"/>
      <c r="N527" s="518">
        <v>200</v>
      </c>
      <c r="O527" s="541"/>
      <c r="P527" s="542"/>
      <c r="Q527" s="518">
        <v>200</v>
      </c>
      <c r="R527" s="541"/>
      <c r="S527" s="542"/>
      <c r="T527" s="518">
        <v>200</v>
      </c>
      <c r="U527" s="541"/>
      <c r="V527" s="542"/>
      <c r="W527" s="518">
        <v>200</v>
      </c>
      <c r="X527" s="541"/>
      <c r="Y527" s="542"/>
      <c r="Z527" s="518">
        <v>200</v>
      </c>
      <c r="AA527" s="541"/>
      <c r="AB527" s="542"/>
      <c r="AC527" s="518">
        <v>200</v>
      </c>
      <c r="AD527" s="541"/>
      <c r="AE527" s="542"/>
      <c r="AF527" s="518">
        <v>200</v>
      </c>
      <c r="AG527" s="541"/>
      <c r="AH527" s="542"/>
      <c r="AI527" s="518">
        <v>200</v>
      </c>
      <c r="AJ527" s="541"/>
      <c r="AK527" s="542"/>
      <c r="AL527" s="518">
        <v>200</v>
      </c>
    </row>
    <row r="528" spans="1:38" x14ac:dyDescent="0.35">
      <c r="A528" s="471">
        <f t="shared" si="32"/>
        <v>3600</v>
      </c>
      <c r="B528" s="506" t="s">
        <v>649</v>
      </c>
      <c r="C528" s="541"/>
      <c r="D528" s="542"/>
      <c r="E528" s="518">
        <v>300</v>
      </c>
      <c r="F528" s="541"/>
      <c r="G528" s="542"/>
      <c r="H528" s="518">
        <v>300</v>
      </c>
      <c r="I528" s="541"/>
      <c r="J528" s="542"/>
      <c r="K528" s="518">
        <v>300</v>
      </c>
      <c r="L528" s="541"/>
      <c r="M528" s="542"/>
      <c r="N528" s="518">
        <v>300</v>
      </c>
      <c r="O528" s="541"/>
      <c r="P528" s="542"/>
      <c r="Q528" s="518">
        <v>300</v>
      </c>
      <c r="R528" s="541"/>
      <c r="S528" s="542"/>
      <c r="T528" s="518">
        <v>300</v>
      </c>
      <c r="U528" s="541"/>
      <c r="V528" s="542"/>
      <c r="W528" s="518">
        <v>300</v>
      </c>
      <c r="X528" s="541"/>
      <c r="Y528" s="542"/>
      <c r="Z528" s="518">
        <v>300</v>
      </c>
      <c r="AA528" s="541"/>
      <c r="AB528" s="542"/>
      <c r="AC528" s="518">
        <v>300</v>
      </c>
      <c r="AD528" s="541"/>
      <c r="AE528" s="542"/>
      <c r="AF528" s="518">
        <v>300</v>
      </c>
      <c r="AG528" s="541"/>
      <c r="AH528" s="542"/>
      <c r="AI528" s="518">
        <v>300</v>
      </c>
      <c r="AJ528" s="541"/>
      <c r="AK528" s="542"/>
      <c r="AL528" s="518">
        <v>300</v>
      </c>
    </row>
    <row r="529" spans="1:38" x14ac:dyDescent="0.35">
      <c r="A529" s="471">
        <f t="shared" si="32"/>
        <v>0</v>
      </c>
      <c r="B529" s="506" t="s">
        <v>650</v>
      </c>
      <c r="C529" s="541"/>
      <c r="D529" s="542"/>
      <c r="E529" s="518"/>
      <c r="F529" s="541"/>
      <c r="G529" s="542"/>
      <c r="H529" s="518"/>
      <c r="I529" s="541"/>
      <c r="J529" s="542"/>
      <c r="K529" s="518"/>
      <c r="L529" s="541"/>
      <c r="M529" s="542"/>
      <c r="N529" s="518"/>
      <c r="O529" s="541"/>
      <c r="P529" s="542"/>
      <c r="Q529" s="518"/>
      <c r="R529" s="541"/>
      <c r="S529" s="542"/>
      <c r="T529" s="518"/>
      <c r="U529" s="541"/>
      <c r="V529" s="542"/>
      <c r="W529" s="518"/>
      <c r="X529" s="541"/>
      <c r="Y529" s="542"/>
      <c r="Z529" s="518"/>
      <c r="AA529" s="541"/>
      <c r="AB529" s="542"/>
      <c r="AC529" s="518"/>
      <c r="AD529" s="541"/>
      <c r="AE529" s="542"/>
      <c r="AF529" s="518"/>
      <c r="AG529" s="541"/>
      <c r="AH529" s="542"/>
      <c r="AI529" s="518"/>
      <c r="AJ529" s="541"/>
      <c r="AK529" s="542"/>
      <c r="AL529" s="518"/>
    </row>
    <row r="530" spans="1:38" x14ac:dyDescent="0.35">
      <c r="A530" s="471">
        <f t="shared" si="32"/>
        <v>21000</v>
      </c>
      <c r="B530" s="506" t="s">
        <v>651</v>
      </c>
      <c r="C530" s="541"/>
      <c r="D530" s="542"/>
      <c r="E530" s="518">
        <f>(150+250)+(1350*1)</f>
        <v>1750</v>
      </c>
      <c r="F530" s="543"/>
      <c r="G530" s="542"/>
      <c r="H530" s="518">
        <f>E530</f>
        <v>1750</v>
      </c>
      <c r="I530" s="543"/>
      <c r="J530" s="542"/>
      <c r="K530" s="518">
        <f>H530</f>
        <v>1750</v>
      </c>
      <c r="L530" s="543"/>
      <c r="M530" s="542"/>
      <c r="N530" s="518">
        <f>K530</f>
        <v>1750</v>
      </c>
      <c r="O530" s="543"/>
      <c r="P530" s="542"/>
      <c r="Q530" s="518">
        <f>N530</f>
        <v>1750</v>
      </c>
      <c r="R530" s="543"/>
      <c r="S530" s="542"/>
      <c r="T530" s="518">
        <f>Q530</f>
        <v>1750</v>
      </c>
      <c r="U530" s="543"/>
      <c r="V530" s="542"/>
      <c r="W530" s="518">
        <f>T530</f>
        <v>1750</v>
      </c>
      <c r="X530" s="543"/>
      <c r="Y530" s="542"/>
      <c r="Z530" s="518">
        <f>W530</f>
        <v>1750</v>
      </c>
      <c r="AA530" s="543"/>
      <c r="AB530" s="542"/>
      <c r="AC530" s="518">
        <f>Z530</f>
        <v>1750</v>
      </c>
      <c r="AD530" s="543"/>
      <c r="AE530" s="542"/>
      <c r="AF530" s="518">
        <f>AC530</f>
        <v>1750</v>
      </c>
      <c r="AG530" s="543"/>
      <c r="AH530" s="542"/>
      <c r="AI530" s="518">
        <f>AF530</f>
        <v>1750</v>
      </c>
      <c r="AJ530" s="543"/>
      <c r="AK530" s="542"/>
      <c r="AL530" s="518">
        <f>AI530</f>
        <v>1750</v>
      </c>
    </row>
    <row r="531" spans="1:38" x14ac:dyDescent="0.35">
      <c r="A531" s="471">
        <f t="shared" si="32"/>
        <v>6000</v>
      </c>
      <c r="B531" s="506" t="s">
        <v>652</v>
      </c>
      <c r="C531" s="541"/>
      <c r="D531" s="542"/>
      <c r="E531" s="518">
        <v>500</v>
      </c>
      <c r="F531" s="541"/>
      <c r="G531" s="542"/>
      <c r="H531" s="518">
        <v>500</v>
      </c>
      <c r="I531" s="541"/>
      <c r="J531" s="542"/>
      <c r="K531" s="518">
        <v>500</v>
      </c>
      <c r="L531" s="541"/>
      <c r="M531" s="542"/>
      <c r="N531" s="518">
        <v>500</v>
      </c>
      <c r="O531" s="541"/>
      <c r="P531" s="542"/>
      <c r="Q531" s="518">
        <v>500</v>
      </c>
      <c r="R531" s="541"/>
      <c r="S531" s="542"/>
      <c r="T531" s="518">
        <v>500</v>
      </c>
      <c r="U531" s="541"/>
      <c r="V531" s="542"/>
      <c r="W531" s="518">
        <v>500</v>
      </c>
      <c r="X531" s="541"/>
      <c r="Y531" s="542"/>
      <c r="Z531" s="518">
        <v>500</v>
      </c>
      <c r="AA531" s="541"/>
      <c r="AB531" s="542"/>
      <c r="AC531" s="518">
        <v>500</v>
      </c>
      <c r="AD531" s="541"/>
      <c r="AE531" s="542"/>
      <c r="AF531" s="518">
        <v>500</v>
      </c>
      <c r="AG531" s="541"/>
      <c r="AH531" s="542"/>
      <c r="AI531" s="518">
        <v>500</v>
      </c>
      <c r="AJ531" s="541"/>
      <c r="AK531" s="542"/>
      <c r="AL531" s="518">
        <v>500</v>
      </c>
    </row>
    <row r="532" spans="1:38" x14ac:dyDescent="0.35">
      <c r="A532" s="471"/>
      <c r="B532" s="506" t="s">
        <v>655</v>
      </c>
      <c r="C532" s="541"/>
      <c r="D532" s="542"/>
      <c r="E532" s="518"/>
      <c r="F532" s="541"/>
      <c r="G532" s="542"/>
      <c r="H532" s="518"/>
      <c r="I532" s="541"/>
      <c r="J532" s="542"/>
      <c r="K532" s="518"/>
      <c r="L532" s="541"/>
      <c r="M532" s="542"/>
      <c r="N532" s="518"/>
      <c r="O532" s="541"/>
      <c r="P532" s="542"/>
      <c r="Q532" s="518"/>
      <c r="R532" s="541"/>
      <c r="S532" s="542"/>
      <c r="T532" s="518"/>
      <c r="U532" s="541"/>
      <c r="V532" s="542"/>
      <c r="W532" s="518"/>
      <c r="X532" s="541"/>
      <c r="Y532" s="542"/>
      <c r="Z532" s="518"/>
      <c r="AA532" s="541"/>
      <c r="AB532" s="542"/>
      <c r="AC532" s="518"/>
      <c r="AD532" s="541"/>
      <c r="AE532" s="542"/>
      <c r="AF532" s="518"/>
      <c r="AG532" s="541"/>
      <c r="AH532" s="542"/>
      <c r="AI532" s="518"/>
      <c r="AJ532" s="541"/>
      <c r="AK532" s="542"/>
      <c r="AL532" s="518"/>
    </row>
    <row r="533" spans="1:38" x14ac:dyDescent="0.35">
      <c r="A533" s="471"/>
      <c r="B533" s="506" t="s">
        <v>656</v>
      </c>
      <c r="C533" s="541"/>
      <c r="D533" s="542"/>
      <c r="E533" s="518"/>
      <c r="F533" s="541"/>
      <c r="G533" s="542"/>
      <c r="H533" s="518"/>
      <c r="I533" s="541"/>
      <c r="J533" s="542"/>
      <c r="K533" s="518"/>
      <c r="L533" s="541"/>
      <c r="M533" s="542"/>
      <c r="N533" s="518"/>
      <c r="O533" s="541"/>
      <c r="P533" s="542"/>
      <c r="Q533" s="518"/>
      <c r="R533" s="541"/>
      <c r="S533" s="542"/>
      <c r="T533" s="518"/>
      <c r="U533" s="541"/>
      <c r="V533" s="542"/>
      <c r="W533" s="518"/>
      <c r="X533" s="541"/>
      <c r="Y533" s="542"/>
      <c r="Z533" s="518"/>
      <c r="AA533" s="541"/>
      <c r="AB533" s="542"/>
      <c r="AC533" s="518"/>
      <c r="AD533" s="541"/>
      <c r="AE533" s="542"/>
      <c r="AF533" s="518"/>
      <c r="AG533" s="541"/>
      <c r="AH533" s="542"/>
      <c r="AI533" s="518"/>
      <c r="AJ533" s="541"/>
      <c r="AK533" s="542"/>
      <c r="AL533" s="518"/>
    </row>
    <row r="534" spans="1:38" x14ac:dyDescent="0.35">
      <c r="A534" s="469">
        <f>SUM(E534,H534,K534,N534,Q534,T534,W534,Z534,AC534,AF534,AI534,AL534)</f>
        <v>67850</v>
      </c>
      <c r="B534" s="509" t="s">
        <v>734</v>
      </c>
      <c r="C534" s="539"/>
      <c r="D534" s="540"/>
      <c r="E534" s="510">
        <f>SUM(E516:E533)</f>
        <v>7650</v>
      </c>
      <c r="F534" s="539"/>
      <c r="G534" s="540"/>
      <c r="H534" s="510">
        <f>SUM(H516:H533)</f>
        <v>5400</v>
      </c>
      <c r="I534" s="539"/>
      <c r="J534" s="540"/>
      <c r="K534" s="510">
        <f>SUM(K516:K533)</f>
        <v>5600</v>
      </c>
      <c r="L534" s="539"/>
      <c r="M534" s="540"/>
      <c r="N534" s="510">
        <f>SUM(N516:N533)</f>
        <v>5400</v>
      </c>
      <c r="O534" s="539"/>
      <c r="P534" s="540"/>
      <c r="Q534" s="510">
        <f>SUM(Q516:Q533)</f>
        <v>5400</v>
      </c>
      <c r="R534" s="539"/>
      <c r="S534" s="540"/>
      <c r="T534" s="510">
        <f>SUM(T516:T533)</f>
        <v>5600</v>
      </c>
      <c r="U534" s="539"/>
      <c r="V534" s="540"/>
      <c r="W534" s="510">
        <f>SUM(W516:W533)</f>
        <v>5400</v>
      </c>
      <c r="X534" s="539"/>
      <c r="Y534" s="540"/>
      <c r="Z534" s="510">
        <f>SUM(Z516:Z533)</f>
        <v>5400</v>
      </c>
      <c r="AA534" s="539"/>
      <c r="AB534" s="540"/>
      <c r="AC534" s="510">
        <f>SUM(AC516:AC533)</f>
        <v>5600</v>
      </c>
      <c r="AD534" s="539"/>
      <c r="AE534" s="540"/>
      <c r="AF534" s="510">
        <f>SUM(AF516:AF533)</f>
        <v>5400</v>
      </c>
      <c r="AG534" s="539"/>
      <c r="AH534" s="540"/>
      <c r="AI534" s="510">
        <f>SUM(AI516:AI533)</f>
        <v>5400</v>
      </c>
      <c r="AJ534" s="539"/>
      <c r="AK534" s="540"/>
      <c r="AL534" s="510">
        <f>SUM(AL516:AL533)</f>
        <v>5600</v>
      </c>
    </row>
    <row r="536" spans="1:38" x14ac:dyDescent="0.35">
      <c r="A536" s="469">
        <f>SUM(E536,H536,K536,N536,Q536,T536,W536,Z536,AC536,AF536,AI536,AL536)</f>
        <v>132251.59271999999</v>
      </c>
      <c r="B536" s="509" t="s">
        <v>683</v>
      </c>
      <c r="C536" s="539"/>
      <c r="D536" s="540"/>
      <c r="E536" s="510">
        <f>E503</f>
        <v>8103.9146666666666</v>
      </c>
      <c r="F536" s="539"/>
      <c r="G536" s="540"/>
      <c r="H536" s="510">
        <f>H503</f>
        <v>8508.9146666666675</v>
      </c>
      <c r="I536" s="539"/>
      <c r="J536" s="540"/>
      <c r="K536" s="510">
        <f>K503</f>
        <v>8508.9146666666675</v>
      </c>
      <c r="L536" s="539"/>
      <c r="M536" s="540"/>
      <c r="N536" s="510">
        <f>N503</f>
        <v>14989.248239999999</v>
      </c>
      <c r="O536" s="539"/>
      <c r="P536" s="540"/>
      <c r="Q536" s="510">
        <f>Q503</f>
        <v>17511.556239999998</v>
      </c>
      <c r="R536" s="539"/>
      <c r="S536" s="540"/>
      <c r="T536" s="510">
        <f>T503</f>
        <v>17511.556239999998</v>
      </c>
      <c r="U536" s="539"/>
      <c r="V536" s="540"/>
      <c r="W536" s="510">
        <f>W503</f>
        <v>10956.914666666667</v>
      </c>
      <c r="X536" s="539"/>
      <c r="Y536" s="540"/>
      <c r="Z536" s="510">
        <f>Z503</f>
        <v>10956.914666666667</v>
      </c>
      <c r="AA536" s="539"/>
      <c r="AB536" s="540"/>
      <c r="AC536" s="510">
        <f>AC503</f>
        <v>10756.914666666667</v>
      </c>
      <c r="AD536" s="539"/>
      <c r="AE536" s="540"/>
      <c r="AF536" s="510">
        <f>AF503</f>
        <v>8308.9146666666675</v>
      </c>
      <c r="AG536" s="539"/>
      <c r="AH536" s="540"/>
      <c r="AI536" s="510">
        <f>AI503</f>
        <v>7828.9146666666666</v>
      </c>
      <c r="AJ536" s="539"/>
      <c r="AK536" s="540"/>
      <c r="AL536" s="510">
        <f>AL503</f>
        <v>8308.9146666666675</v>
      </c>
    </row>
    <row r="537" spans="1:38" x14ac:dyDescent="0.35">
      <c r="A537" s="469">
        <f>SUM(E537,H537,K537,N537,Q537,T537,W537,Z537,AC537,AF537,AI537,AL537)</f>
        <v>166466.95999999996</v>
      </c>
      <c r="B537" s="509" t="s">
        <v>684</v>
      </c>
      <c r="C537" s="539"/>
      <c r="D537" s="540"/>
      <c r="E537" s="510">
        <f>E513+E534</f>
        <v>15868.08</v>
      </c>
      <c r="F537" s="539"/>
      <c r="G537" s="540"/>
      <c r="H537" s="510">
        <f>H513+H534</f>
        <v>13618.08</v>
      </c>
      <c r="I537" s="539"/>
      <c r="J537" s="540"/>
      <c r="K537" s="510">
        <f>K513+K534</f>
        <v>13818.08</v>
      </c>
      <c r="L537" s="539"/>
      <c r="M537" s="540"/>
      <c r="N537" s="510">
        <f>N513+N534</f>
        <v>13618.08</v>
      </c>
      <c r="O537" s="539"/>
      <c r="P537" s="540"/>
      <c r="Q537" s="510">
        <f>Q513+Q534</f>
        <v>13618.08</v>
      </c>
      <c r="R537" s="539"/>
      <c r="S537" s="540"/>
      <c r="T537" s="510">
        <f>T513+T534</f>
        <v>13818.08</v>
      </c>
      <c r="U537" s="539"/>
      <c r="V537" s="540"/>
      <c r="W537" s="510">
        <f>W513+W534</f>
        <v>13618.08</v>
      </c>
      <c r="X537" s="539"/>
      <c r="Y537" s="540"/>
      <c r="Z537" s="510">
        <f>Z513+Z534</f>
        <v>13618.08</v>
      </c>
      <c r="AA537" s="539"/>
      <c r="AB537" s="540"/>
      <c r="AC537" s="510">
        <f>AC513+AC534</f>
        <v>13818.08</v>
      </c>
      <c r="AD537" s="539"/>
      <c r="AE537" s="540"/>
      <c r="AF537" s="510">
        <f>AF513+AF534</f>
        <v>13618.08</v>
      </c>
      <c r="AG537" s="539"/>
      <c r="AH537" s="540"/>
      <c r="AI537" s="510">
        <f>AI513+AI534</f>
        <v>13618.08</v>
      </c>
      <c r="AJ537" s="539"/>
      <c r="AK537" s="540"/>
      <c r="AL537" s="510">
        <f>AL513+AL534</f>
        <v>13818.08</v>
      </c>
    </row>
    <row r="538" spans="1:38" x14ac:dyDescent="0.35">
      <c r="A538" s="469">
        <f>SUM(E538,H538,K538,N538,Q538,T538,W538,Z538,AC538,AF538,AI538,AL538)</f>
        <v>-34215.367279999999</v>
      </c>
      <c r="B538" s="509" t="s">
        <v>685</v>
      </c>
      <c r="C538" s="539"/>
      <c r="D538" s="540"/>
      <c r="E538" s="510">
        <f>E536-E537</f>
        <v>-7764.1653333333334</v>
      </c>
      <c r="F538" s="539"/>
      <c r="G538" s="540"/>
      <c r="H538" s="510">
        <f>H536-H537</f>
        <v>-5109.1653333333325</v>
      </c>
      <c r="I538" s="539"/>
      <c r="J538" s="540"/>
      <c r="K538" s="510">
        <f>K536-K537</f>
        <v>-5309.1653333333325</v>
      </c>
      <c r="L538" s="539"/>
      <c r="M538" s="540"/>
      <c r="N538" s="510">
        <f>N536-N537</f>
        <v>1371.1682399999991</v>
      </c>
      <c r="O538" s="539"/>
      <c r="P538" s="540"/>
      <c r="Q538" s="510">
        <f>Q536-Q537</f>
        <v>3893.4762399999981</v>
      </c>
      <c r="R538" s="539"/>
      <c r="S538" s="540"/>
      <c r="T538" s="510">
        <f>T536-T537</f>
        <v>3693.4762399999981</v>
      </c>
      <c r="U538" s="539"/>
      <c r="V538" s="540"/>
      <c r="W538" s="510">
        <f>W536-W537</f>
        <v>-2661.1653333333325</v>
      </c>
      <c r="X538" s="539"/>
      <c r="Y538" s="540"/>
      <c r="Z538" s="510">
        <f>Z536-Z537</f>
        <v>-2661.1653333333325</v>
      </c>
      <c r="AA538" s="539"/>
      <c r="AB538" s="540"/>
      <c r="AC538" s="510">
        <f>AC536-AC537</f>
        <v>-3061.1653333333325</v>
      </c>
      <c r="AD538" s="539"/>
      <c r="AE538" s="540"/>
      <c r="AF538" s="510">
        <f>AF536-AF537</f>
        <v>-5309.1653333333325</v>
      </c>
      <c r="AG538" s="539"/>
      <c r="AH538" s="540"/>
      <c r="AI538" s="510">
        <f>AI536-AI537</f>
        <v>-5789.1653333333334</v>
      </c>
      <c r="AJ538" s="539"/>
      <c r="AK538" s="540"/>
      <c r="AL538" s="510">
        <f>AL536-AL537</f>
        <v>-5509.1653333333325</v>
      </c>
    </row>
    <row r="546" spans="23:26" x14ac:dyDescent="0.35">
      <c r="W546" t="s">
        <v>504</v>
      </c>
    </row>
    <row r="548" spans="23:26" x14ac:dyDescent="0.35">
      <c r="Z548" t="s">
        <v>735</v>
      </c>
    </row>
  </sheetData>
  <mergeCells count="2313">
    <mergeCell ref="AD450:AE450"/>
    <mergeCell ref="AG450:AH450"/>
    <mergeCell ref="AJ450:AK450"/>
    <mergeCell ref="C451:D451"/>
    <mergeCell ref="F451:G451"/>
    <mergeCell ref="I451:J451"/>
    <mergeCell ref="L451:M451"/>
    <mergeCell ref="AA413:AC413"/>
    <mergeCell ref="AA320:AB320"/>
    <mergeCell ref="AD320:AE320"/>
    <mergeCell ref="AG320:AH320"/>
    <mergeCell ref="AJ320:AK320"/>
    <mergeCell ref="C321:D321"/>
    <mergeCell ref="F321:G321"/>
    <mergeCell ref="I321:J321"/>
    <mergeCell ref="L321:M321"/>
    <mergeCell ref="O321:P321"/>
    <mergeCell ref="I348:K348"/>
    <mergeCell ref="L348:N348"/>
    <mergeCell ref="O348:Q348"/>
    <mergeCell ref="R348:T348"/>
    <mergeCell ref="C320:D320"/>
    <mergeCell ref="F320:G320"/>
    <mergeCell ref="I320:J320"/>
    <mergeCell ref="L320:M320"/>
    <mergeCell ref="O320:P320"/>
    <mergeCell ref="R320:S320"/>
    <mergeCell ref="U320:V320"/>
    <mergeCell ref="X320:Y320"/>
    <mergeCell ref="R321:S321"/>
    <mergeCell ref="U321:V321"/>
    <mergeCell ref="X321:Y321"/>
    <mergeCell ref="U478:W478"/>
    <mergeCell ref="X478:Z478"/>
    <mergeCell ref="AA478:AC478"/>
    <mergeCell ref="AD478:AF478"/>
    <mergeCell ref="AG478:AI478"/>
    <mergeCell ref="AJ478:AL478"/>
    <mergeCell ref="AD413:AF413"/>
    <mergeCell ref="AG413:AI413"/>
    <mergeCell ref="AJ413:AL413"/>
    <mergeCell ref="C478:E478"/>
    <mergeCell ref="F478:H478"/>
    <mergeCell ref="I478:K478"/>
    <mergeCell ref="L478:N478"/>
    <mergeCell ref="O478:Q478"/>
    <mergeCell ref="R478:T478"/>
    <mergeCell ref="C450:D450"/>
    <mergeCell ref="F450:G450"/>
    <mergeCell ref="I450:J450"/>
    <mergeCell ref="L450:M450"/>
    <mergeCell ref="O450:P450"/>
    <mergeCell ref="R450:S450"/>
    <mergeCell ref="U450:V450"/>
    <mergeCell ref="C413:E413"/>
    <mergeCell ref="F413:H413"/>
    <mergeCell ref="I413:K413"/>
    <mergeCell ref="L413:N413"/>
    <mergeCell ref="O413:Q413"/>
    <mergeCell ref="R413:T413"/>
    <mergeCell ref="U413:W413"/>
    <mergeCell ref="X413:Z413"/>
    <mergeCell ref="O451:P451"/>
    <mergeCell ref="R451:S451"/>
    <mergeCell ref="O283:Q283"/>
    <mergeCell ref="R283:T283"/>
    <mergeCell ref="U283:W283"/>
    <mergeCell ref="X283:Z283"/>
    <mergeCell ref="AA283:AC283"/>
    <mergeCell ref="A280:AL280"/>
    <mergeCell ref="AD283:AF283"/>
    <mergeCell ref="AG283:AI283"/>
    <mergeCell ref="AJ283:AL283"/>
    <mergeCell ref="AD192:AE192"/>
    <mergeCell ref="AG192:AH192"/>
    <mergeCell ref="AJ192:AK192"/>
    <mergeCell ref="C193:D193"/>
    <mergeCell ref="F193:G193"/>
    <mergeCell ref="I193:J193"/>
    <mergeCell ref="L193:M193"/>
    <mergeCell ref="O193:P193"/>
    <mergeCell ref="R193:S193"/>
    <mergeCell ref="U193:V193"/>
    <mergeCell ref="X193:Y193"/>
    <mergeCell ref="AA193:AB193"/>
    <mergeCell ref="AD193:AE193"/>
    <mergeCell ref="AG193:AH193"/>
    <mergeCell ref="AJ193:AK193"/>
    <mergeCell ref="C192:D192"/>
    <mergeCell ref="F192:G192"/>
    <mergeCell ref="I192:J192"/>
    <mergeCell ref="L192:M192"/>
    <mergeCell ref="O192:P192"/>
    <mergeCell ref="R192:S192"/>
    <mergeCell ref="AJ59:AK59"/>
    <mergeCell ref="C61:D61"/>
    <mergeCell ref="A84:AL84"/>
    <mergeCell ref="C59:D59"/>
    <mergeCell ref="C60:D60"/>
    <mergeCell ref="F60:G60"/>
    <mergeCell ref="I60:J60"/>
    <mergeCell ref="L60:M60"/>
    <mergeCell ref="O60:P60"/>
    <mergeCell ref="R60:S60"/>
    <mergeCell ref="U60:V60"/>
    <mergeCell ref="C191:D191"/>
    <mergeCell ref="F191:G191"/>
    <mergeCell ref="I191:J191"/>
    <mergeCell ref="L191:M191"/>
    <mergeCell ref="O191:P191"/>
    <mergeCell ref="R191:S191"/>
    <mergeCell ref="U191:V191"/>
    <mergeCell ref="X191:Y191"/>
    <mergeCell ref="AA191:AB191"/>
    <mergeCell ref="AD191:AE191"/>
    <mergeCell ref="AG191:AH191"/>
    <mergeCell ref="AJ191:AK191"/>
    <mergeCell ref="L87:N87"/>
    <mergeCell ref="O87:Q87"/>
    <mergeCell ref="R87:T87"/>
    <mergeCell ref="AJ87:AL87"/>
    <mergeCell ref="AJ61:AK61"/>
    <mergeCell ref="U62:V62"/>
    <mergeCell ref="X62:Y62"/>
    <mergeCell ref="AA62:AB62"/>
    <mergeCell ref="AD62:AE62"/>
    <mergeCell ref="X19:Z19"/>
    <mergeCell ref="AA19:AC19"/>
    <mergeCell ref="AD19:AF19"/>
    <mergeCell ref="AG19:AI19"/>
    <mergeCell ref="R19:T19"/>
    <mergeCell ref="U19:W19"/>
    <mergeCell ref="I19:K19"/>
    <mergeCell ref="L19:N19"/>
    <mergeCell ref="O19:Q19"/>
    <mergeCell ref="C19:E19"/>
    <mergeCell ref="F19:H19"/>
    <mergeCell ref="AA59:AB59"/>
    <mergeCell ref="AD59:AE59"/>
    <mergeCell ref="AG59:AH59"/>
    <mergeCell ref="U87:W87"/>
    <mergeCell ref="X87:Z87"/>
    <mergeCell ref="AA87:AC87"/>
    <mergeCell ref="AD87:AF87"/>
    <mergeCell ref="AG87:AI87"/>
    <mergeCell ref="I59:J59"/>
    <mergeCell ref="L59:M59"/>
    <mergeCell ref="O59:P59"/>
    <mergeCell ref="R59:S59"/>
    <mergeCell ref="U59:V59"/>
    <mergeCell ref="X59:Y59"/>
    <mergeCell ref="AG61:AH61"/>
    <mergeCell ref="C62:D62"/>
    <mergeCell ref="F62:G62"/>
    <mergeCell ref="I62:J62"/>
    <mergeCell ref="L62:M62"/>
    <mergeCell ref="O62:P62"/>
    <mergeCell ref="R62:S62"/>
    <mergeCell ref="AJ19:AL19"/>
    <mergeCell ref="C153:E153"/>
    <mergeCell ref="F153:H153"/>
    <mergeCell ref="I153:K153"/>
    <mergeCell ref="L153:N153"/>
    <mergeCell ref="O153:Q153"/>
    <mergeCell ref="R153:T153"/>
    <mergeCell ref="U153:W153"/>
    <mergeCell ref="X153:Z153"/>
    <mergeCell ref="AA153:AC153"/>
    <mergeCell ref="U218:W218"/>
    <mergeCell ref="X218:Z218"/>
    <mergeCell ref="AA218:AC218"/>
    <mergeCell ref="AD218:AF218"/>
    <mergeCell ref="AG218:AI218"/>
    <mergeCell ref="AJ218:AL218"/>
    <mergeCell ref="AD153:AF153"/>
    <mergeCell ref="AG153:AI153"/>
    <mergeCell ref="AJ153:AL153"/>
    <mergeCell ref="C218:E218"/>
    <mergeCell ref="F218:H218"/>
    <mergeCell ref="I218:K218"/>
    <mergeCell ref="L218:N218"/>
    <mergeCell ref="C87:E87"/>
    <mergeCell ref="F87:H87"/>
    <mergeCell ref="I87:K87"/>
    <mergeCell ref="X60:Y60"/>
    <mergeCell ref="AA60:AB60"/>
    <mergeCell ref="AD60:AE60"/>
    <mergeCell ref="AG60:AH60"/>
    <mergeCell ref="AJ60:AK60"/>
    <mergeCell ref="F59:G59"/>
    <mergeCell ref="AG62:AH62"/>
    <mergeCell ref="AJ62:AK62"/>
    <mergeCell ref="F61:G61"/>
    <mergeCell ref="I61:J61"/>
    <mergeCell ref="L61:M61"/>
    <mergeCell ref="O61:P61"/>
    <mergeCell ref="R61:S61"/>
    <mergeCell ref="U61:V61"/>
    <mergeCell ref="X61:Y61"/>
    <mergeCell ref="AA61:AB61"/>
    <mergeCell ref="AD61:AE61"/>
    <mergeCell ref="AD63:AE63"/>
    <mergeCell ref="AG63:AH63"/>
    <mergeCell ref="AJ63:AK63"/>
    <mergeCell ref="C64:D64"/>
    <mergeCell ref="F64:G64"/>
    <mergeCell ref="I64:J64"/>
    <mergeCell ref="L64:M64"/>
    <mergeCell ref="O64:P64"/>
    <mergeCell ref="R64:S64"/>
    <mergeCell ref="U64:V64"/>
    <mergeCell ref="X64:Y64"/>
    <mergeCell ref="AA64:AB64"/>
    <mergeCell ref="AD64:AE64"/>
    <mergeCell ref="AG64:AH64"/>
    <mergeCell ref="AJ64:AK64"/>
    <mergeCell ref="C63:D63"/>
    <mergeCell ref="F63:G63"/>
    <mergeCell ref="I63:J63"/>
    <mergeCell ref="L63:M63"/>
    <mergeCell ref="O63:P63"/>
    <mergeCell ref="R63:S63"/>
    <mergeCell ref="U63:V63"/>
    <mergeCell ref="X63:Y63"/>
    <mergeCell ref="AA63:AB63"/>
    <mergeCell ref="AD65:AE65"/>
    <mergeCell ref="AG65:AH65"/>
    <mergeCell ref="AJ65:AK65"/>
    <mergeCell ref="C67:D67"/>
    <mergeCell ref="F67:G67"/>
    <mergeCell ref="I67:J67"/>
    <mergeCell ref="L67:M67"/>
    <mergeCell ref="O67:P67"/>
    <mergeCell ref="R67:S67"/>
    <mergeCell ref="U67:V67"/>
    <mergeCell ref="X67:Y67"/>
    <mergeCell ref="AA67:AB67"/>
    <mergeCell ref="AD67:AE67"/>
    <mergeCell ref="AG67:AH67"/>
    <mergeCell ref="AJ67:AK67"/>
    <mergeCell ref="C65:D65"/>
    <mergeCell ref="F65:G65"/>
    <mergeCell ref="I65:J65"/>
    <mergeCell ref="L65:M65"/>
    <mergeCell ref="O65:P65"/>
    <mergeCell ref="R65:S65"/>
    <mergeCell ref="U65:V65"/>
    <mergeCell ref="X65:Y65"/>
    <mergeCell ref="AA65:AB65"/>
    <mergeCell ref="AD68:AE68"/>
    <mergeCell ref="AG68:AH68"/>
    <mergeCell ref="AJ68:AK68"/>
    <mergeCell ref="C69:D69"/>
    <mergeCell ref="F69:G69"/>
    <mergeCell ref="I69:J69"/>
    <mergeCell ref="L69:M69"/>
    <mergeCell ref="O69:P69"/>
    <mergeCell ref="R69:S69"/>
    <mergeCell ref="U69:V69"/>
    <mergeCell ref="X69:Y69"/>
    <mergeCell ref="AA69:AB69"/>
    <mergeCell ref="AD69:AE69"/>
    <mergeCell ref="AG69:AH69"/>
    <mergeCell ref="AJ69:AK69"/>
    <mergeCell ref="C68:D68"/>
    <mergeCell ref="F68:G68"/>
    <mergeCell ref="I68:J68"/>
    <mergeCell ref="L68:M68"/>
    <mergeCell ref="O68:P68"/>
    <mergeCell ref="R68:S68"/>
    <mergeCell ref="U68:V68"/>
    <mergeCell ref="X68:Y68"/>
    <mergeCell ref="AA68:AB68"/>
    <mergeCell ref="AD70:AE70"/>
    <mergeCell ref="AG70:AH70"/>
    <mergeCell ref="AJ70:AK70"/>
    <mergeCell ref="C71:D71"/>
    <mergeCell ref="F71:G71"/>
    <mergeCell ref="I71:J71"/>
    <mergeCell ref="L71:M71"/>
    <mergeCell ref="O71:P71"/>
    <mergeCell ref="R71:S71"/>
    <mergeCell ref="U71:V71"/>
    <mergeCell ref="X71:Y71"/>
    <mergeCell ref="AA71:AB71"/>
    <mergeCell ref="AD71:AE71"/>
    <mergeCell ref="AG71:AH71"/>
    <mergeCell ref="AJ71:AK71"/>
    <mergeCell ref="C70:D70"/>
    <mergeCell ref="F70:G70"/>
    <mergeCell ref="I70:J70"/>
    <mergeCell ref="L70:M70"/>
    <mergeCell ref="O70:P70"/>
    <mergeCell ref="R70:S70"/>
    <mergeCell ref="U70:V70"/>
    <mergeCell ref="X70:Y70"/>
    <mergeCell ref="AA70:AB70"/>
    <mergeCell ref="AD72:AE72"/>
    <mergeCell ref="AG72:AH72"/>
    <mergeCell ref="AJ72:AK72"/>
    <mergeCell ref="C73:D73"/>
    <mergeCell ref="F73:G73"/>
    <mergeCell ref="I73:J73"/>
    <mergeCell ref="L73:M73"/>
    <mergeCell ref="O73:P73"/>
    <mergeCell ref="R73:S73"/>
    <mergeCell ref="U73:V73"/>
    <mergeCell ref="X73:Y73"/>
    <mergeCell ref="AA73:AB73"/>
    <mergeCell ref="AD73:AE73"/>
    <mergeCell ref="AG73:AH73"/>
    <mergeCell ref="AJ73:AK73"/>
    <mergeCell ref="C72:D72"/>
    <mergeCell ref="F72:G72"/>
    <mergeCell ref="I72:J72"/>
    <mergeCell ref="L72:M72"/>
    <mergeCell ref="O72:P72"/>
    <mergeCell ref="R72:S72"/>
    <mergeCell ref="U72:V72"/>
    <mergeCell ref="X72:Y72"/>
    <mergeCell ref="AA72:AB72"/>
    <mergeCell ref="AD74:AE74"/>
    <mergeCell ref="AG74:AH74"/>
    <mergeCell ref="AJ74:AK74"/>
    <mergeCell ref="C75:D75"/>
    <mergeCell ref="F75:G75"/>
    <mergeCell ref="I75:J75"/>
    <mergeCell ref="L75:M75"/>
    <mergeCell ref="O75:P75"/>
    <mergeCell ref="R75:S75"/>
    <mergeCell ref="U75:V75"/>
    <mergeCell ref="X75:Y75"/>
    <mergeCell ref="AA75:AB75"/>
    <mergeCell ref="AD75:AE75"/>
    <mergeCell ref="AG75:AH75"/>
    <mergeCell ref="AJ75:AK75"/>
    <mergeCell ref="C74:D74"/>
    <mergeCell ref="F74:G74"/>
    <mergeCell ref="I74:J74"/>
    <mergeCell ref="L74:M74"/>
    <mergeCell ref="O74:P74"/>
    <mergeCell ref="R74:S74"/>
    <mergeCell ref="U74:V74"/>
    <mergeCell ref="X74:Y74"/>
    <mergeCell ref="AA74:AB74"/>
    <mergeCell ref="AG76:AH76"/>
    <mergeCell ref="AJ76:AK76"/>
    <mergeCell ref="C77:D77"/>
    <mergeCell ref="F77:G77"/>
    <mergeCell ref="I77:J77"/>
    <mergeCell ref="L77:M77"/>
    <mergeCell ref="O77:P77"/>
    <mergeCell ref="R77:S77"/>
    <mergeCell ref="U77:V77"/>
    <mergeCell ref="X77:Y77"/>
    <mergeCell ref="AA77:AB77"/>
    <mergeCell ref="C78:D78"/>
    <mergeCell ref="F78:G78"/>
    <mergeCell ref="I78:J78"/>
    <mergeCell ref="L78:M78"/>
    <mergeCell ref="O78:P78"/>
    <mergeCell ref="R78:S78"/>
    <mergeCell ref="U78:V78"/>
    <mergeCell ref="X78:Y78"/>
    <mergeCell ref="AA78:AB78"/>
    <mergeCell ref="R80:S80"/>
    <mergeCell ref="U80:V80"/>
    <mergeCell ref="X80:Y80"/>
    <mergeCell ref="AA80:AB80"/>
    <mergeCell ref="AD77:AE77"/>
    <mergeCell ref="AG77:AH77"/>
    <mergeCell ref="AJ77:AK77"/>
    <mergeCell ref="C66:D66"/>
    <mergeCell ref="F66:G66"/>
    <mergeCell ref="I66:J66"/>
    <mergeCell ref="L66:M66"/>
    <mergeCell ref="O66:P66"/>
    <mergeCell ref="R66:S66"/>
    <mergeCell ref="U66:V66"/>
    <mergeCell ref="X66:Y66"/>
    <mergeCell ref="AA66:AB66"/>
    <mergeCell ref="AD66:AE66"/>
    <mergeCell ref="AG66:AH66"/>
    <mergeCell ref="AJ66:AK66"/>
    <mergeCell ref="AD78:AE78"/>
    <mergeCell ref="AG78:AH78"/>
    <mergeCell ref="AJ78:AK78"/>
    <mergeCell ref="C76:D76"/>
    <mergeCell ref="F76:G76"/>
    <mergeCell ref="I76:J76"/>
    <mergeCell ref="L76:M76"/>
    <mergeCell ref="O76:P76"/>
    <mergeCell ref="R76:S76"/>
    <mergeCell ref="U76:V76"/>
    <mergeCell ref="X76:Y76"/>
    <mergeCell ref="AA76:AB76"/>
    <mergeCell ref="AD76:AE76"/>
    <mergeCell ref="AD82:AE82"/>
    <mergeCell ref="AG82:AH82"/>
    <mergeCell ref="AJ82:AK82"/>
    <mergeCell ref="C82:D82"/>
    <mergeCell ref="F82:G82"/>
    <mergeCell ref="I82:J82"/>
    <mergeCell ref="L82:M82"/>
    <mergeCell ref="O82:P82"/>
    <mergeCell ref="R82:S82"/>
    <mergeCell ref="U82:V82"/>
    <mergeCell ref="X82:Y82"/>
    <mergeCell ref="AA82:AB82"/>
    <mergeCell ref="AD80:AE80"/>
    <mergeCell ref="AG80:AH80"/>
    <mergeCell ref="AJ80:AK80"/>
    <mergeCell ref="C81:D81"/>
    <mergeCell ref="F81:G81"/>
    <mergeCell ref="I81:J81"/>
    <mergeCell ref="L81:M81"/>
    <mergeCell ref="O81:P81"/>
    <mergeCell ref="R81:S81"/>
    <mergeCell ref="U81:V81"/>
    <mergeCell ref="X81:Y81"/>
    <mergeCell ref="AA81:AB81"/>
    <mergeCell ref="AD81:AE81"/>
    <mergeCell ref="AG81:AH81"/>
    <mergeCell ref="AJ81:AK81"/>
    <mergeCell ref="C80:D80"/>
    <mergeCell ref="F80:G80"/>
    <mergeCell ref="I80:J80"/>
    <mergeCell ref="L80:M80"/>
    <mergeCell ref="O80:P80"/>
    <mergeCell ref="AD125:AE125"/>
    <mergeCell ref="AG125:AH125"/>
    <mergeCell ref="AJ125:AK125"/>
    <mergeCell ref="C126:D126"/>
    <mergeCell ref="F126:G126"/>
    <mergeCell ref="I126:J126"/>
    <mergeCell ref="L126:M126"/>
    <mergeCell ref="O126:P126"/>
    <mergeCell ref="R126:S126"/>
    <mergeCell ref="U126:V126"/>
    <mergeCell ref="X126:Y126"/>
    <mergeCell ref="AA126:AB126"/>
    <mergeCell ref="AD126:AE126"/>
    <mergeCell ref="AG126:AH126"/>
    <mergeCell ref="AJ126:AK126"/>
    <mergeCell ref="C125:D125"/>
    <mergeCell ref="F125:G125"/>
    <mergeCell ref="I125:J125"/>
    <mergeCell ref="L125:M125"/>
    <mergeCell ref="O125:P125"/>
    <mergeCell ref="R125:S125"/>
    <mergeCell ref="U125:V125"/>
    <mergeCell ref="X125:Y125"/>
    <mergeCell ref="AA125:AB125"/>
    <mergeCell ref="AD127:AE127"/>
    <mergeCell ref="AG127:AH127"/>
    <mergeCell ref="AJ127:AK127"/>
    <mergeCell ref="C128:D128"/>
    <mergeCell ref="F128:G128"/>
    <mergeCell ref="I128:J128"/>
    <mergeCell ref="L128:M128"/>
    <mergeCell ref="O128:P128"/>
    <mergeCell ref="R128:S128"/>
    <mergeCell ref="U128:V128"/>
    <mergeCell ref="X128:Y128"/>
    <mergeCell ref="AA128:AB128"/>
    <mergeCell ref="AD128:AE128"/>
    <mergeCell ref="AG128:AH128"/>
    <mergeCell ref="AJ128:AK128"/>
    <mergeCell ref="C127:D127"/>
    <mergeCell ref="F127:G127"/>
    <mergeCell ref="I127:J127"/>
    <mergeCell ref="L127:M127"/>
    <mergeCell ref="O127:P127"/>
    <mergeCell ref="R127:S127"/>
    <mergeCell ref="U127:V127"/>
    <mergeCell ref="X127:Y127"/>
    <mergeCell ref="AA127:AB127"/>
    <mergeCell ref="AD129:AE129"/>
    <mergeCell ref="AG129:AH129"/>
    <mergeCell ref="AJ129:AK129"/>
    <mergeCell ref="C130:D130"/>
    <mergeCell ref="F130:G130"/>
    <mergeCell ref="I130:J130"/>
    <mergeCell ref="L130:M130"/>
    <mergeCell ref="O130:P130"/>
    <mergeCell ref="R130:S130"/>
    <mergeCell ref="U130:V130"/>
    <mergeCell ref="X130:Y130"/>
    <mergeCell ref="AA130:AB130"/>
    <mergeCell ref="AD130:AE130"/>
    <mergeCell ref="AG130:AH130"/>
    <mergeCell ref="AJ130:AK130"/>
    <mergeCell ref="C129:D129"/>
    <mergeCell ref="F129:G129"/>
    <mergeCell ref="I129:J129"/>
    <mergeCell ref="L129:M129"/>
    <mergeCell ref="O129:P129"/>
    <mergeCell ref="R129:S129"/>
    <mergeCell ref="U129:V129"/>
    <mergeCell ref="X129:Y129"/>
    <mergeCell ref="AA129:AB129"/>
    <mergeCell ref="AD131:AE131"/>
    <mergeCell ref="AG131:AH131"/>
    <mergeCell ref="AJ131:AK131"/>
    <mergeCell ref="C132:D132"/>
    <mergeCell ref="F132:G132"/>
    <mergeCell ref="I132:J132"/>
    <mergeCell ref="L132:M132"/>
    <mergeCell ref="O132:P132"/>
    <mergeCell ref="R132:S132"/>
    <mergeCell ref="U132:V132"/>
    <mergeCell ref="X132:Y132"/>
    <mergeCell ref="AA132:AB132"/>
    <mergeCell ref="AD132:AE132"/>
    <mergeCell ref="AG132:AH132"/>
    <mergeCell ref="AJ132:AK132"/>
    <mergeCell ref="C131:D131"/>
    <mergeCell ref="F131:G131"/>
    <mergeCell ref="I131:J131"/>
    <mergeCell ref="L131:M131"/>
    <mergeCell ref="O131:P131"/>
    <mergeCell ref="R131:S131"/>
    <mergeCell ref="U131:V131"/>
    <mergeCell ref="X131:Y131"/>
    <mergeCell ref="AA131:AB131"/>
    <mergeCell ref="AD133:AE133"/>
    <mergeCell ref="AG133:AH133"/>
    <mergeCell ref="AJ133:AK133"/>
    <mergeCell ref="C134:D134"/>
    <mergeCell ref="F134:G134"/>
    <mergeCell ref="I134:J134"/>
    <mergeCell ref="L134:M134"/>
    <mergeCell ref="O134:P134"/>
    <mergeCell ref="R134:S134"/>
    <mergeCell ref="U134:V134"/>
    <mergeCell ref="X134:Y134"/>
    <mergeCell ref="AA134:AB134"/>
    <mergeCell ref="AD134:AE134"/>
    <mergeCell ref="AG134:AH134"/>
    <mergeCell ref="AJ134:AK134"/>
    <mergeCell ref="C133:D133"/>
    <mergeCell ref="F133:G133"/>
    <mergeCell ref="I133:J133"/>
    <mergeCell ref="L133:M133"/>
    <mergeCell ref="O133:P133"/>
    <mergeCell ref="R133:S133"/>
    <mergeCell ref="U133:V133"/>
    <mergeCell ref="X133:Y133"/>
    <mergeCell ref="AA133:AB133"/>
    <mergeCell ref="AD135:AE135"/>
    <mergeCell ref="AG135:AH135"/>
    <mergeCell ref="AJ135:AK135"/>
    <mergeCell ref="C136:D136"/>
    <mergeCell ref="F136:G136"/>
    <mergeCell ref="I136:J136"/>
    <mergeCell ref="L136:M136"/>
    <mergeCell ref="O136:P136"/>
    <mergeCell ref="R136:S136"/>
    <mergeCell ref="U136:V136"/>
    <mergeCell ref="X136:Y136"/>
    <mergeCell ref="AA136:AB136"/>
    <mergeCell ref="AD136:AE136"/>
    <mergeCell ref="AG136:AH136"/>
    <mergeCell ref="AJ136:AK136"/>
    <mergeCell ref="C135:D135"/>
    <mergeCell ref="F135:G135"/>
    <mergeCell ref="I135:J135"/>
    <mergeCell ref="L135:M135"/>
    <mergeCell ref="O135:P135"/>
    <mergeCell ref="R135:S135"/>
    <mergeCell ref="U135:V135"/>
    <mergeCell ref="X135:Y135"/>
    <mergeCell ref="AA135:AB135"/>
    <mergeCell ref="AD137:AE137"/>
    <mergeCell ref="AG137:AH137"/>
    <mergeCell ref="AJ137:AK137"/>
    <mergeCell ref="C138:D138"/>
    <mergeCell ref="F138:G138"/>
    <mergeCell ref="I138:J138"/>
    <mergeCell ref="L138:M138"/>
    <mergeCell ref="O138:P138"/>
    <mergeCell ref="R138:S138"/>
    <mergeCell ref="U138:V138"/>
    <mergeCell ref="X138:Y138"/>
    <mergeCell ref="AA138:AB138"/>
    <mergeCell ref="AD138:AE138"/>
    <mergeCell ref="AG138:AH138"/>
    <mergeCell ref="AJ138:AK138"/>
    <mergeCell ref="C137:D137"/>
    <mergeCell ref="F137:G137"/>
    <mergeCell ref="I137:J137"/>
    <mergeCell ref="L137:M137"/>
    <mergeCell ref="O137:P137"/>
    <mergeCell ref="R137:S137"/>
    <mergeCell ref="U137:V137"/>
    <mergeCell ref="X137:Y137"/>
    <mergeCell ref="AA137:AB137"/>
    <mergeCell ref="AD139:AE139"/>
    <mergeCell ref="AG139:AH139"/>
    <mergeCell ref="AJ139:AK139"/>
    <mergeCell ref="C140:D140"/>
    <mergeCell ref="F140:G140"/>
    <mergeCell ref="I140:J140"/>
    <mergeCell ref="L140:M140"/>
    <mergeCell ref="O140:P140"/>
    <mergeCell ref="R140:S140"/>
    <mergeCell ref="U140:V140"/>
    <mergeCell ref="X140:Y140"/>
    <mergeCell ref="AA140:AB140"/>
    <mergeCell ref="AD140:AE140"/>
    <mergeCell ref="AG140:AH140"/>
    <mergeCell ref="AJ140:AK140"/>
    <mergeCell ref="C139:D139"/>
    <mergeCell ref="F139:G139"/>
    <mergeCell ref="I139:J139"/>
    <mergeCell ref="L139:M139"/>
    <mergeCell ref="O139:P139"/>
    <mergeCell ref="R139:S139"/>
    <mergeCell ref="U139:V139"/>
    <mergeCell ref="X139:Y139"/>
    <mergeCell ref="AA139:AB139"/>
    <mergeCell ref="F143:G143"/>
    <mergeCell ref="I143:J143"/>
    <mergeCell ref="L143:M143"/>
    <mergeCell ref="O143:P143"/>
    <mergeCell ref="R143:S143"/>
    <mergeCell ref="U143:V143"/>
    <mergeCell ref="X143:Y143"/>
    <mergeCell ref="AA143:AB143"/>
    <mergeCell ref="AD141:AE141"/>
    <mergeCell ref="AG141:AH141"/>
    <mergeCell ref="AJ141:AK141"/>
    <mergeCell ref="C142:D142"/>
    <mergeCell ref="F142:G142"/>
    <mergeCell ref="I142:J142"/>
    <mergeCell ref="L142:M142"/>
    <mergeCell ref="O142:P142"/>
    <mergeCell ref="R142:S142"/>
    <mergeCell ref="U142:V142"/>
    <mergeCell ref="X142:Y142"/>
    <mergeCell ref="AA142:AB142"/>
    <mergeCell ref="AD142:AE142"/>
    <mergeCell ref="AG142:AH142"/>
    <mergeCell ref="AJ142:AK142"/>
    <mergeCell ref="C141:D141"/>
    <mergeCell ref="F141:G141"/>
    <mergeCell ref="I141:J141"/>
    <mergeCell ref="L141:M141"/>
    <mergeCell ref="O141:P141"/>
    <mergeCell ref="R141:S141"/>
    <mergeCell ref="U141:V141"/>
    <mergeCell ref="X141:Y141"/>
    <mergeCell ref="AA141:AB141"/>
    <mergeCell ref="R147:S147"/>
    <mergeCell ref="U147:V147"/>
    <mergeCell ref="X147:Y147"/>
    <mergeCell ref="AA147:AB147"/>
    <mergeCell ref="AD147:AE147"/>
    <mergeCell ref="AG147:AH147"/>
    <mergeCell ref="AJ147:AK147"/>
    <mergeCell ref="C146:D146"/>
    <mergeCell ref="F146:G146"/>
    <mergeCell ref="I146:J146"/>
    <mergeCell ref="L146:M146"/>
    <mergeCell ref="O146:P146"/>
    <mergeCell ref="R146:S146"/>
    <mergeCell ref="U146:V146"/>
    <mergeCell ref="X146:Y146"/>
    <mergeCell ref="AA146:AB146"/>
    <mergeCell ref="AD143:AE143"/>
    <mergeCell ref="AG143:AH143"/>
    <mergeCell ref="AJ143:AK143"/>
    <mergeCell ref="C145:D145"/>
    <mergeCell ref="F145:G145"/>
    <mergeCell ref="I145:J145"/>
    <mergeCell ref="L145:M145"/>
    <mergeCell ref="O145:P145"/>
    <mergeCell ref="R145:S145"/>
    <mergeCell ref="U145:V145"/>
    <mergeCell ref="X145:Y145"/>
    <mergeCell ref="AA145:AB145"/>
    <mergeCell ref="AD145:AE145"/>
    <mergeCell ref="AG145:AH145"/>
    <mergeCell ref="AJ145:AK145"/>
    <mergeCell ref="C143:D143"/>
    <mergeCell ref="AD124:AE124"/>
    <mergeCell ref="AG124:AH124"/>
    <mergeCell ref="AJ124:AK124"/>
    <mergeCell ref="C190:D190"/>
    <mergeCell ref="F190:G190"/>
    <mergeCell ref="I190:J190"/>
    <mergeCell ref="L190:M190"/>
    <mergeCell ref="O190:P190"/>
    <mergeCell ref="R190:S190"/>
    <mergeCell ref="U190:V190"/>
    <mergeCell ref="X190:Y190"/>
    <mergeCell ref="AA190:AB190"/>
    <mergeCell ref="AD190:AE190"/>
    <mergeCell ref="AG190:AH190"/>
    <mergeCell ref="AJ190:AK190"/>
    <mergeCell ref="C124:D124"/>
    <mergeCell ref="F124:G124"/>
    <mergeCell ref="I124:J124"/>
    <mergeCell ref="L124:M124"/>
    <mergeCell ref="O124:P124"/>
    <mergeCell ref="R124:S124"/>
    <mergeCell ref="U124:V124"/>
    <mergeCell ref="X124:Y124"/>
    <mergeCell ref="AA124:AB124"/>
    <mergeCell ref="AD146:AE146"/>
    <mergeCell ref="AG146:AH146"/>
    <mergeCell ref="AJ146:AK146"/>
    <mergeCell ref="C147:D147"/>
    <mergeCell ref="F147:G147"/>
    <mergeCell ref="I147:J147"/>
    <mergeCell ref="L147:M147"/>
    <mergeCell ref="O147:P147"/>
    <mergeCell ref="U192:V192"/>
    <mergeCell ref="X192:Y192"/>
    <mergeCell ref="AA192:AB192"/>
    <mergeCell ref="AD194:AE194"/>
    <mergeCell ref="AG194:AH194"/>
    <mergeCell ref="AJ194:AK194"/>
    <mergeCell ref="C195:D195"/>
    <mergeCell ref="F195:G195"/>
    <mergeCell ref="I195:J195"/>
    <mergeCell ref="L195:M195"/>
    <mergeCell ref="O195:P195"/>
    <mergeCell ref="R195:S195"/>
    <mergeCell ref="U195:V195"/>
    <mergeCell ref="X195:Y195"/>
    <mergeCell ref="AA195:AB195"/>
    <mergeCell ref="AD195:AE195"/>
    <mergeCell ref="AG195:AH195"/>
    <mergeCell ref="AJ195:AK195"/>
    <mergeCell ref="C194:D194"/>
    <mergeCell ref="F194:G194"/>
    <mergeCell ref="I194:J194"/>
    <mergeCell ref="L194:M194"/>
    <mergeCell ref="O194:P194"/>
    <mergeCell ref="R194:S194"/>
    <mergeCell ref="U194:V194"/>
    <mergeCell ref="X194:Y194"/>
    <mergeCell ref="AA194:AB194"/>
    <mergeCell ref="AD196:AE196"/>
    <mergeCell ref="AG196:AH196"/>
    <mergeCell ref="AJ196:AK196"/>
    <mergeCell ref="C197:D197"/>
    <mergeCell ref="F197:G197"/>
    <mergeCell ref="I197:J197"/>
    <mergeCell ref="L197:M197"/>
    <mergeCell ref="O197:P197"/>
    <mergeCell ref="R197:S197"/>
    <mergeCell ref="U197:V197"/>
    <mergeCell ref="X197:Y197"/>
    <mergeCell ref="AA197:AB197"/>
    <mergeCell ref="AD197:AE197"/>
    <mergeCell ref="AG197:AH197"/>
    <mergeCell ref="AJ197:AK197"/>
    <mergeCell ref="C196:D196"/>
    <mergeCell ref="F196:G196"/>
    <mergeCell ref="I196:J196"/>
    <mergeCell ref="L196:M196"/>
    <mergeCell ref="O196:P196"/>
    <mergeCell ref="R196:S196"/>
    <mergeCell ref="U196:V196"/>
    <mergeCell ref="X196:Y196"/>
    <mergeCell ref="AA196:AB196"/>
    <mergeCell ref="AD198:AE198"/>
    <mergeCell ref="AG198:AH198"/>
    <mergeCell ref="AJ198:AK198"/>
    <mergeCell ref="C199:D199"/>
    <mergeCell ref="F199:G199"/>
    <mergeCell ref="I199:J199"/>
    <mergeCell ref="L199:M199"/>
    <mergeCell ref="O199:P199"/>
    <mergeCell ref="R199:S199"/>
    <mergeCell ref="U199:V199"/>
    <mergeCell ref="X199:Y199"/>
    <mergeCell ref="AA199:AB199"/>
    <mergeCell ref="AD199:AE199"/>
    <mergeCell ref="AG199:AH199"/>
    <mergeCell ref="AJ199:AK199"/>
    <mergeCell ref="C198:D198"/>
    <mergeCell ref="F198:G198"/>
    <mergeCell ref="I198:J198"/>
    <mergeCell ref="L198:M198"/>
    <mergeCell ref="O198:P198"/>
    <mergeCell ref="R198:S198"/>
    <mergeCell ref="U198:V198"/>
    <mergeCell ref="X198:Y198"/>
    <mergeCell ref="AA198:AB198"/>
    <mergeCell ref="AD200:AE200"/>
    <mergeCell ref="AG200:AH200"/>
    <mergeCell ref="AJ200:AK200"/>
    <mergeCell ref="C201:D201"/>
    <mergeCell ref="F201:G201"/>
    <mergeCell ref="I201:J201"/>
    <mergeCell ref="L201:M201"/>
    <mergeCell ref="O201:P201"/>
    <mergeCell ref="R201:S201"/>
    <mergeCell ref="U201:V201"/>
    <mergeCell ref="X201:Y201"/>
    <mergeCell ref="AA201:AB201"/>
    <mergeCell ref="AD201:AE201"/>
    <mergeCell ref="AG201:AH201"/>
    <mergeCell ref="AJ201:AK201"/>
    <mergeCell ref="C200:D200"/>
    <mergeCell ref="F200:G200"/>
    <mergeCell ref="I200:J200"/>
    <mergeCell ref="L200:M200"/>
    <mergeCell ref="O200:P200"/>
    <mergeCell ref="R200:S200"/>
    <mergeCell ref="U200:V200"/>
    <mergeCell ref="X200:Y200"/>
    <mergeCell ref="AA200:AB200"/>
    <mergeCell ref="AD202:AE202"/>
    <mergeCell ref="AG202:AH202"/>
    <mergeCell ref="AJ202:AK202"/>
    <mergeCell ref="C203:D203"/>
    <mergeCell ref="F203:G203"/>
    <mergeCell ref="I203:J203"/>
    <mergeCell ref="L203:M203"/>
    <mergeCell ref="O203:P203"/>
    <mergeCell ref="R203:S203"/>
    <mergeCell ref="U203:V203"/>
    <mergeCell ref="X203:Y203"/>
    <mergeCell ref="AA203:AB203"/>
    <mergeCell ref="AD203:AE203"/>
    <mergeCell ref="AG203:AH203"/>
    <mergeCell ref="AJ203:AK203"/>
    <mergeCell ref="C202:D202"/>
    <mergeCell ref="F202:G202"/>
    <mergeCell ref="I202:J202"/>
    <mergeCell ref="L202:M202"/>
    <mergeCell ref="O202:P202"/>
    <mergeCell ref="R202:S202"/>
    <mergeCell ref="U202:V202"/>
    <mergeCell ref="X202:Y202"/>
    <mergeCell ref="AA202:AB202"/>
    <mergeCell ref="AD204:AE204"/>
    <mergeCell ref="AG204:AH204"/>
    <mergeCell ref="AJ204:AK204"/>
    <mergeCell ref="C205:D205"/>
    <mergeCell ref="F205:G205"/>
    <mergeCell ref="I205:J205"/>
    <mergeCell ref="L205:M205"/>
    <mergeCell ref="O205:P205"/>
    <mergeCell ref="R205:S205"/>
    <mergeCell ref="U205:V205"/>
    <mergeCell ref="X205:Y205"/>
    <mergeCell ref="AA205:AB205"/>
    <mergeCell ref="AD205:AE205"/>
    <mergeCell ref="AG205:AH205"/>
    <mergeCell ref="AJ205:AK205"/>
    <mergeCell ref="C204:D204"/>
    <mergeCell ref="F204:G204"/>
    <mergeCell ref="I204:J204"/>
    <mergeCell ref="L204:M204"/>
    <mergeCell ref="O204:P204"/>
    <mergeCell ref="R204:S204"/>
    <mergeCell ref="U204:V204"/>
    <mergeCell ref="X204:Y204"/>
    <mergeCell ref="AA204:AB204"/>
    <mergeCell ref="AD206:AE206"/>
    <mergeCell ref="AG206:AH206"/>
    <mergeCell ref="AJ206:AK206"/>
    <mergeCell ref="C207:D207"/>
    <mergeCell ref="F207:G207"/>
    <mergeCell ref="I207:J207"/>
    <mergeCell ref="L207:M207"/>
    <mergeCell ref="O207:P207"/>
    <mergeCell ref="R207:S207"/>
    <mergeCell ref="U207:V207"/>
    <mergeCell ref="X207:Y207"/>
    <mergeCell ref="AA207:AB207"/>
    <mergeCell ref="AD207:AE207"/>
    <mergeCell ref="AG207:AH207"/>
    <mergeCell ref="AJ207:AK207"/>
    <mergeCell ref="C206:D206"/>
    <mergeCell ref="F206:G206"/>
    <mergeCell ref="I206:J206"/>
    <mergeCell ref="L206:M206"/>
    <mergeCell ref="O206:P206"/>
    <mergeCell ref="R206:S206"/>
    <mergeCell ref="U206:V206"/>
    <mergeCell ref="X206:Y206"/>
    <mergeCell ref="AA206:AB206"/>
    <mergeCell ref="AD208:AE208"/>
    <mergeCell ref="AG208:AH208"/>
    <mergeCell ref="AJ208:AK208"/>
    <mergeCell ref="C209:D209"/>
    <mergeCell ref="F209:G209"/>
    <mergeCell ref="I209:J209"/>
    <mergeCell ref="L209:M209"/>
    <mergeCell ref="O209:P209"/>
    <mergeCell ref="R209:S209"/>
    <mergeCell ref="U209:V209"/>
    <mergeCell ref="X209:Y209"/>
    <mergeCell ref="AA209:AB209"/>
    <mergeCell ref="AD209:AE209"/>
    <mergeCell ref="AG209:AH209"/>
    <mergeCell ref="AJ209:AK209"/>
    <mergeCell ref="C208:D208"/>
    <mergeCell ref="F208:G208"/>
    <mergeCell ref="I208:J208"/>
    <mergeCell ref="L208:M208"/>
    <mergeCell ref="O208:P208"/>
    <mergeCell ref="R208:S208"/>
    <mergeCell ref="U208:V208"/>
    <mergeCell ref="X208:Y208"/>
    <mergeCell ref="AA208:AB208"/>
    <mergeCell ref="AD211:AE211"/>
    <mergeCell ref="AG211:AH211"/>
    <mergeCell ref="AJ211:AK211"/>
    <mergeCell ref="C212:D212"/>
    <mergeCell ref="F212:G212"/>
    <mergeCell ref="I212:J212"/>
    <mergeCell ref="L212:M212"/>
    <mergeCell ref="O212:P212"/>
    <mergeCell ref="R212:S212"/>
    <mergeCell ref="U212:V212"/>
    <mergeCell ref="X212:Y212"/>
    <mergeCell ref="AA212:AB212"/>
    <mergeCell ref="AD212:AE212"/>
    <mergeCell ref="AG212:AH212"/>
    <mergeCell ref="AJ212:AK212"/>
    <mergeCell ref="C211:D211"/>
    <mergeCell ref="F211:G211"/>
    <mergeCell ref="I211:J211"/>
    <mergeCell ref="L211:M211"/>
    <mergeCell ref="O211:P211"/>
    <mergeCell ref="R211:S211"/>
    <mergeCell ref="U211:V211"/>
    <mergeCell ref="X211:Y211"/>
    <mergeCell ref="AA211:AB211"/>
    <mergeCell ref="AD213:AE213"/>
    <mergeCell ref="AG213:AH213"/>
    <mergeCell ref="AJ213:AK213"/>
    <mergeCell ref="C255:D255"/>
    <mergeCell ref="F255:G255"/>
    <mergeCell ref="I255:J255"/>
    <mergeCell ref="L255:M255"/>
    <mergeCell ref="O255:P255"/>
    <mergeCell ref="R255:S255"/>
    <mergeCell ref="U255:V255"/>
    <mergeCell ref="X255:Y255"/>
    <mergeCell ref="AA255:AB255"/>
    <mergeCell ref="AD255:AE255"/>
    <mergeCell ref="AG255:AH255"/>
    <mergeCell ref="AJ255:AK255"/>
    <mergeCell ref="C213:D213"/>
    <mergeCell ref="F213:G213"/>
    <mergeCell ref="I213:J213"/>
    <mergeCell ref="L213:M213"/>
    <mergeCell ref="O213:P213"/>
    <mergeCell ref="R213:S213"/>
    <mergeCell ref="U213:V213"/>
    <mergeCell ref="X213:Y213"/>
    <mergeCell ref="AA213:AB213"/>
    <mergeCell ref="O218:Q218"/>
    <mergeCell ref="R218:T218"/>
    <mergeCell ref="AD256:AE256"/>
    <mergeCell ref="AG256:AH256"/>
    <mergeCell ref="AJ256:AK256"/>
    <mergeCell ref="C257:D257"/>
    <mergeCell ref="F257:G257"/>
    <mergeCell ref="I257:J257"/>
    <mergeCell ref="L257:M257"/>
    <mergeCell ref="O257:P257"/>
    <mergeCell ref="R257:S257"/>
    <mergeCell ref="U257:V257"/>
    <mergeCell ref="X257:Y257"/>
    <mergeCell ref="AA257:AB257"/>
    <mergeCell ref="AD257:AE257"/>
    <mergeCell ref="AG257:AH257"/>
    <mergeCell ref="AJ257:AK257"/>
    <mergeCell ref="C256:D256"/>
    <mergeCell ref="F256:G256"/>
    <mergeCell ref="I256:J256"/>
    <mergeCell ref="L256:M256"/>
    <mergeCell ref="O256:P256"/>
    <mergeCell ref="R256:S256"/>
    <mergeCell ref="U256:V256"/>
    <mergeCell ref="X256:Y256"/>
    <mergeCell ref="AA256:AB256"/>
    <mergeCell ref="AD258:AE258"/>
    <mergeCell ref="AG258:AH258"/>
    <mergeCell ref="AJ258:AK258"/>
    <mergeCell ref="C259:D259"/>
    <mergeCell ref="F259:G259"/>
    <mergeCell ref="I259:J259"/>
    <mergeCell ref="L259:M259"/>
    <mergeCell ref="O259:P259"/>
    <mergeCell ref="R259:S259"/>
    <mergeCell ref="U259:V259"/>
    <mergeCell ref="X259:Y259"/>
    <mergeCell ref="AA259:AB259"/>
    <mergeCell ref="AD259:AE259"/>
    <mergeCell ref="AG259:AH259"/>
    <mergeCell ref="AJ259:AK259"/>
    <mergeCell ref="C258:D258"/>
    <mergeCell ref="F258:G258"/>
    <mergeCell ref="I258:J258"/>
    <mergeCell ref="L258:M258"/>
    <mergeCell ref="O258:P258"/>
    <mergeCell ref="R258:S258"/>
    <mergeCell ref="U258:V258"/>
    <mergeCell ref="X258:Y258"/>
    <mergeCell ref="AA258:AB258"/>
    <mergeCell ref="AD260:AE260"/>
    <mergeCell ref="AG260:AH260"/>
    <mergeCell ref="AJ260:AK260"/>
    <mergeCell ref="C261:D261"/>
    <mergeCell ref="F261:G261"/>
    <mergeCell ref="I261:J261"/>
    <mergeCell ref="L261:M261"/>
    <mergeCell ref="O261:P261"/>
    <mergeCell ref="R261:S261"/>
    <mergeCell ref="U261:V261"/>
    <mergeCell ref="X261:Y261"/>
    <mergeCell ref="AA261:AB261"/>
    <mergeCell ref="AD261:AE261"/>
    <mergeCell ref="AG261:AH261"/>
    <mergeCell ref="AJ261:AK261"/>
    <mergeCell ref="C260:D260"/>
    <mergeCell ref="F260:G260"/>
    <mergeCell ref="I260:J260"/>
    <mergeCell ref="L260:M260"/>
    <mergeCell ref="O260:P260"/>
    <mergeCell ref="R260:S260"/>
    <mergeCell ref="U260:V260"/>
    <mergeCell ref="X260:Y260"/>
    <mergeCell ref="AA260:AB260"/>
    <mergeCell ref="AD262:AE262"/>
    <mergeCell ref="AG262:AH262"/>
    <mergeCell ref="AJ262:AK262"/>
    <mergeCell ref="C263:D263"/>
    <mergeCell ref="F263:G263"/>
    <mergeCell ref="I263:J263"/>
    <mergeCell ref="L263:M263"/>
    <mergeCell ref="O263:P263"/>
    <mergeCell ref="R263:S263"/>
    <mergeCell ref="U263:V263"/>
    <mergeCell ref="X263:Y263"/>
    <mergeCell ref="AA263:AB263"/>
    <mergeCell ref="AD263:AE263"/>
    <mergeCell ref="AG263:AH263"/>
    <mergeCell ref="AJ263:AK263"/>
    <mergeCell ref="C262:D262"/>
    <mergeCell ref="F262:G262"/>
    <mergeCell ref="I262:J262"/>
    <mergeCell ref="L262:M262"/>
    <mergeCell ref="O262:P262"/>
    <mergeCell ref="R262:S262"/>
    <mergeCell ref="U262:V262"/>
    <mergeCell ref="X262:Y262"/>
    <mergeCell ref="AA262:AB262"/>
    <mergeCell ref="AD264:AE264"/>
    <mergeCell ref="AG264:AH264"/>
    <mergeCell ref="AJ264:AK264"/>
    <mergeCell ref="C265:D265"/>
    <mergeCell ref="F265:G265"/>
    <mergeCell ref="I265:J265"/>
    <mergeCell ref="L265:M265"/>
    <mergeCell ref="O265:P265"/>
    <mergeCell ref="R265:S265"/>
    <mergeCell ref="U265:V265"/>
    <mergeCell ref="X265:Y265"/>
    <mergeCell ref="AA265:AB265"/>
    <mergeCell ref="AD265:AE265"/>
    <mergeCell ref="AG265:AH265"/>
    <mergeCell ref="AJ265:AK265"/>
    <mergeCell ref="C264:D264"/>
    <mergeCell ref="F264:G264"/>
    <mergeCell ref="I264:J264"/>
    <mergeCell ref="L264:M264"/>
    <mergeCell ref="O264:P264"/>
    <mergeCell ref="R264:S264"/>
    <mergeCell ref="U264:V264"/>
    <mergeCell ref="X264:Y264"/>
    <mergeCell ref="AA264:AB264"/>
    <mergeCell ref="AD266:AE266"/>
    <mergeCell ref="AG266:AH266"/>
    <mergeCell ref="AJ266:AK266"/>
    <mergeCell ref="C267:D267"/>
    <mergeCell ref="F267:G267"/>
    <mergeCell ref="I267:J267"/>
    <mergeCell ref="L267:M267"/>
    <mergeCell ref="O267:P267"/>
    <mergeCell ref="R267:S267"/>
    <mergeCell ref="U267:V267"/>
    <mergeCell ref="X267:Y267"/>
    <mergeCell ref="AA267:AB267"/>
    <mergeCell ref="AD267:AE267"/>
    <mergeCell ref="AG267:AH267"/>
    <mergeCell ref="AJ267:AK267"/>
    <mergeCell ref="C266:D266"/>
    <mergeCell ref="F266:G266"/>
    <mergeCell ref="I266:J266"/>
    <mergeCell ref="L266:M266"/>
    <mergeCell ref="O266:P266"/>
    <mergeCell ref="R266:S266"/>
    <mergeCell ref="U266:V266"/>
    <mergeCell ref="X266:Y266"/>
    <mergeCell ref="AA266:AB266"/>
    <mergeCell ref="AD268:AE268"/>
    <mergeCell ref="AG268:AH268"/>
    <mergeCell ref="AJ268:AK268"/>
    <mergeCell ref="C269:D269"/>
    <mergeCell ref="F269:G269"/>
    <mergeCell ref="I269:J269"/>
    <mergeCell ref="L269:M269"/>
    <mergeCell ref="O269:P269"/>
    <mergeCell ref="R269:S269"/>
    <mergeCell ref="U269:V269"/>
    <mergeCell ref="X269:Y269"/>
    <mergeCell ref="AA269:AB269"/>
    <mergeCell ref="AD269:AE269"/>
    <mergeCell ref="AG269:AH269"/>
    <mergeCell ref="AJ269:AK269"/>
    <mergeCell ref="C268:D268"/>
    <mergeCell ref="F268:G268"/>
    <mergeCell ref="I268:J268"/>
    <mergeCell ref="L268:M268"/>
    <mergeCell ref="O268:P268"/>
    <mergeCell ref="R268:S268"/>
    <mergeCell ref="U268:V268"/>
    <mergeCell ref="X268:Y268"/>
    <mergeCell ref="AA268:AB268"/>
    <mergeCell ref="AD270:AE270"/>
    <mergeCell ref="AG270:AH270"/>
    <mergeCell ref="AJ270:AK270"/>
    <mergeCell ref="C271:D271"/>
    <mergeCell ref="F271:G271"/>
    <mergeCell ref="I271:J271"/>
    <mergeCell ref="L271:M271"/>
    <mergeCell ref="O271:P271"/>
    <mergeCell ref="R271:S271"/>
    <mergeCell ref="U271:V271"/>
    <mergeCell ref="X271:Y271"/>
    <mergeCell ref="AA271:AB271"/>
    <mergeCell ref="AD271:AE271"/>
    <mergeCell ref="AG271:AH271"/>
    <mergeCell ref="AJ271:AK271"/>
    <mergeCell ref="C270:D270"/>
    <mergeCell ref="F270:G270"/>
    <mergeCell ref="I270:J270"/>
    <mergeCell ref="L270:M270"/>
    <mergeCell ref="O270:P270"/>
    <mergeCell ref="R270:S270"/>
    <mergeCell ref="U270:V270"/>
    <mergeCell ref="X270:Y270"/>
    <mergeCell ref="AA270:AB270"/>
    <mergeCell ref="AD272:AE272"/>
    <mergeCell ref="AG272:AH272"/>
    <mergeCell ref="AJ272:AK272"/>
    <mergeCell ref="C273:D273"/>
    <mergeCell ref="F273:G273"/>
    <mergeCell ref="I273:J273"/>
    <mergeCell ref="L273:M273"/>
    <mergeCell ref="O273:P273"/>
    <mergeCell ref="R273:S273"/>
    <mergeCell ref="U273:V273"/>
    <mergeCell ref="X273:Y273"/>
    <mergeCell ref="AA273:AB273"/>
    <mergeCell ref="AD273:AE273"/>
    <mergeCell ref="AG273:AH273"/>
    <mergeCell ref="AJ273:AK273"/>
    <mergeCell ref="C272:D272"/>
    <mergeCell ref="F272:G272"/>
    <mergeCell ref="I272:J272"/>
    <mergeCell ref="L272:M272"/>
    <mergeCell ref="O272:P272"/>
    <mergeCell ref="R272:S272"/>
    <mergeCell ref="U272:V272"/>
    <mergeCell ref="X272:Y272"/>
    <mergeCell ref="AA272:AB272"/>
    <mergeCell ref="AD274:AE274"/>
    <mergeCell ref="AG274:AH274"/>
    <mergeCell ref="AJ274:AK274"/>
    <mergeCell ref="C276:D276"/>
    <mergeCell ref="F276:G276"/>
    <mergeCell ref="I276:J276"/>
    <mergeCell ref="L276:M276"/>
    <mergeCell ref="O276:P276"/>
    <mergeCell ref="R276:S276"/>
    <mergeCell ref="U276:V276"/>
    <mergeCell ref="X276:Y276"/>
    <mergeCell ref="AA276:AB276"/>
    <mergeCell ref="AD276:AE276"/>
    <mergeCell ref="AG276:AH276"/>
    <mergeCell ref="AJ276:AK276"/>
    <mergeCell ref="C274:D274"/>
    <mergeCell ref="F274:G274"/>
    <mergeCell ref="I274:J274"/>
    <mergeCell ref="L274:M274"/>
    <mergeCell ref="O274:P274"/>
    <mergeCell ref="R274:S274"/>
    <mergeCell ref="U274:V274"/>
    <mergeCell ref="X274:Y274"/>
    <mergeCell ref="AA274:AB274"/>
    <mergeCell ref="AA321:AB321"/>
    <mergeCell ref="AD321:AE321"/>
    <mergeCell ref="AG321:AH321"/>
    <mergeCell ref="AJ321:AK321"/>
    <mergeCell ref="AD277:AE277"/>
    <mergeCell ref="AG277:AH277"/>
    <mergeCell ref="AJ277:AK277"/>
    <mergeCell ref="C278:D278"/>
    <mergeCell ref="F278:G278"/>
    <mergeCell ref="I278:J278"/>
    <mergeCell ref="L278:M278"/>
    <mergeCell ref="O278:P278"/>
    <mergeCell ref="R278:S278"/>
    <mergeCell ref="U278:V278"/>
    <mergeCell ref="X278:Y278"/>
    <mergeCell ref="AA278:AB278"/>
    <mergeCell ref="AD278:AE278"/>
    <mergeCell ref="AG278:AH278"/>
    <mergeCell ref="AJ278:AK278"/>
    <mergeCell ref="C277:D277"/>
    <mergeCell ref="F277:G277"/>
    <mergeCell ref="I277:J277"/>
    <mergeCell ref="L277:M277"/>
    <mergeCell ref="O277:P277"/>
    <mergeCell ref="R277:S277"/>
    <mergeCell ref="U277:V277"/>
    <mergeCell ref="X277:Y277"/>
    <mergeCell ref="AA277:AB277"/>
    <mergeCell ref="C283:E283"/>
    <mergeCell ref="F283:H283"/>
    <mergeCell ref="I283:K283"/>
    <mergeCell ref="L283:N283"/>
    <mergeCell ref="AD322:AE322"/>
    <mergeCell ref="AG322:AH322"/>
    <mergeCell ref="AJ322:AK322"/>
    <mergeCell ref="C323:D323"/>
    <mergeCell ref="F323:G323"/>
    <mergeCell ref="I323:J323"/>
    <mergeCell ref="L323:M323"/>
    <mergeCell ref="O323:P323"/>
    <mergeCell ref="R323:S323"/>
    <mergeCell ref="U323:V323"/>
    <mergeCell ref="X323:Y323"/>
    <mergeCell ref="AA323:AB323"/>
    <mergeCell ref="AD323:AE323"/>
    <mergeCell ref="AG323:AH323"/>
    <mergeCell ref="AJ323:AK323"/>
    <mergeCell ref="C322:D322"/>
    <mergeCell ref="F322:G322"/>
    <mergeCell ref="I322:J322"/>
    <mergeCell ref="L322:M322"/>
    <mergeCell ref="O322:P322"/>
    <mergeCell ref="R322:S322"/>
    <mergeCell ref="U322:V322"/>
    <mergeCell ref="X322:Y322"/>
    <mergeCell ref="AA322:AB322"/>
    <mergeCell ref="AD324:AE324"/>
    <mergeCell ref="AG324:AH324"/>
    <mergeCell ref="AJ324:AK324"/>
    <mergeCell ref="C325:D325"/>
    <mergeCell ref="F325:G325"/>
    <mergeCell ref="I325:J325"/>
    <mergeCell ref="L325:M325"/>
    <mergeCell ref="O325:P325"/>
    <mergeCell ref="R325:S325"/>
    <mergeCell ref="U325:V325"/>
    <mergeCell ref="X325:Y325"/>
    <mergeCell ref="AA325:AB325"/>
    <mergeCell ref="AD325:AE325"/>
    <mergeCell ref="AG325:AH325"/>
    <mergeCell ref="AJ325:AK325"/>
    <mergeCell ref="C324:D324"/>
    <mergeCell ref="F324:G324"/>
    <mergeCell ref="I324:J324"/>
    <mergeCell ref="L324:M324"/>
    <mergeCell ref="O324:P324"/>
    <mergeCell ref="R324:S324"/>
    <mergeCell ref="U324:V324"/>
    <mergeCell ref="X324:Y324"/>
    <mergeCell ref="AA324:AB324"/>
    <mergeCell ref="AD326:AE326"/>
    <mergeCell ref="AG326:AH326"/>
    <mergeCell ref="AJ326:AK326"/>
    <mergeCell ref="C327:D327"/>
    <mergeCell ref="F327:G327"/>
    <mergeCell ref="I327:J327"/>
    <mergeCell ref="L327:M327"/>
    <mergeCell ref="O327:P327"/>
    <mergeCell ref="R327:S327"/>
    <mergeCell ref="U327:V327"/>
    <mergeCell ref="X327:Y327"/>
    <mergeCell ref="AA327:AB327"/>
    <mergeCell ref="AD327:AE327"/>
    <mergeCell ref="AG327:AH327"/>
    <mergeCell ref="AJ327:AK327"/>
    <mergeCell ref="C326:D326"/>
    <mergeCell ref="F326:G326"/>
    <mergeCell ref="I326:J326"/>
    <mergeCell ref="L326:M326"/>
    <mergeCell ref="O326:P326"/>
    <mergeCell ref="R326:S326"/>
    <mergeCell ref="U326:V326"/>
    <mergeCell ref="X326:Y326"/>
    <mergeCell ref="AA326:AB326"/>
    <mergeCell ref="AD328:AE328"/>
    <mergeCell ref="AG328:AH328"/>
    <mergeCell ref="AJ328:AK328"/>
    <mergeCell ref="C329:D329"/>
    <mergeCell ref="F329:G329"/>
    <mergeCell ref="I329:J329"/>
    <mergeCell ref="L329:M329"/>
    <mergeCell ref="O329:P329"/>
    <mergeCell ref="R329:S329"/>
    <mergeCell ref="U329:V329"/>
    <mergeCell ref="X329:Y329"/>
    <mergeCell ref="AA329:AB329"/>
    <mergeCell ref="AD329:AE329"/>
    <mergeCell ref="AG329:AH329"/>
    <mergeCell ref="AJ329:AK329"/>
    <mergeCell ref="C328:D328"/>
    <mergeCell ref="F328:G328"/>
    <mergeCell ref="I328:J328"/>
    <mergeCell ref="L328:M328"/>
    <mergeCell ref="O328:P328"/>
    <mergeCell ref="R328:S328"/>
    <mergeCell ref="U328:V328"/>
    <mergeCell ref="X328:Y328"/>
    <mergeCell ref="AA328:AB328"/>
    <mergeCell ref="AD330:AE330"/>
    <mergeCell ref="AG330:AH330"/>
    <mergeCell ref="AJ330:AK330"/>
    <mergeCell ref="C331:D331"/>
    <mergeCell ref="F331:G331"/>
    <mergeCell ref="I331:J331"/>
    <mergeCell ref="L331:M331"/>
    <mergeCell ref="O331:P331"/>
    <mergeCell ref="R331:S331"/>
    <mergeCell ref="U331:V331"/>
    <mergeCell ref="X331:Y331"/>
    <mergeCell ref="AA331:AB331"/>
    <mergeCell ref="AD331:AE331"/>
    <mergeCell ref="AG331:AH331"/>
    <mergeCell ref="AJ331:AK331"/>
    <mergeCell ref="C330:D330"/>
    <mergeCell ref="F330:G330"/>
    <mergeCell ref="I330:J330"/>
    <mergeCell ref="L330:M330"/>
    <mergeCell ref="O330:P330"/>
    <mergeCell ref="R330:S330"/>
    <mergeCell ref="U330:V330"/>
    <mergeCell ref="X330:Y330"/>
    <mergeCell ref="AA330:AB330"/>
    <mergeCell ref="AD332:AE332"/>
    <mergeCell ref="AG332:AH332"/>
    <mergeCell ref="AJ332:AK332"/>
    <mergeCell ref="C333:D333"/>
    <mergeCell ref="F333:G333"/>
    <mergeCell ref="I333:J333"/>
    <mergeCell ref="L333:M333"/>
    <mergeCell ref="O333:P333"/>
    <mergeCell ref="R333:S333"/>
    <mergeCell ref="U333:V333"/>
    <mergeCell ref="X333:Y333"/>
    <mergeCell ref="AA333:AB333"/>
    <mergeCell ref="AD333:AE333"/>
    <mergeCell ref="AG333:AH333"/>
    <mergeCell ref="AJ333:AK333"/>
    <mergeCell ref="C332:D332"/>
    <mergeCell ref="F332:G332"/>
    <mergeCell ref="I332:J332"/>
    <mergeCell ref="L332:M332"/>
    <mergeCell ref="O332:P332"/>
    <mergeCell ref="R332:S332"/>
    <mergeCell ref="U332:V332"/>
    <mergeCell ref="X332:Y332"/>
    <mergeCell ref="AA332:AB332"/>
    <mergeCell ref="AD334:AE334"/>
    <mergeCell ref="AG334:AH334"/>
    <mergeCell ref="AJ334:AK334"/>
    <mergeCell ref="C335:D335"/>
    <mergeCell ref="F335:G335"/>
    <mergeCell ref="I335:J335"/>
    <mergeCell ref="L335:M335"/>
    <mergeCell ref="O335:P335"/>
    <mergeCell ref="R335:S335"/>
    <mergeCell ref="U335:V335"/>
    <mergeCell ref="X335:Y335"/>
    <mergeCell ref="AA335:AB335"/>
    <mergeCell ref="AD335:AE335"/>
    <mergeCell ref="AG335:AH335"/>
    <mergeCell ref="AJ335:AK335"/>
    <mergeCell ref="C334:D334"/>
    <mergeCell ref="F334:G334"/>
    <mergeCell ref="I334:J334"/>
    <mergeCell ref="L334:M334"/>
    <mergeCell ref="O334:P334"/>
    <mergeCell ref="R334:S334"/>
    <mergeCell ref="U334:V334"/>
    <mergeCell ref="X334:Y334"/>
    <mergeCell ref="AA334:AB334"/>
    <mergeCell ref="AD336:AE336"/>
    <mergeCell ref="AG336:AH336"/>
    <mergeCell ref="AJ336:AK336"/>
    <mergeCell ref="C337:D337"/>
    <mergeCell ref="F337:G337"/>
    <mergeCell ref="I337:J337"/>
    <mergeCell ref="L337:M337"/>
    <mergeCell ref="O337:P337"/>
    <mergeCell ref="R337:S337"/>
    <mergeCell ref="U337:V337"/>
    <mergeCell ref="X337:Y337"/>
    <mergeCell ref="AA337:AB337"/>
    <mergeCell ref="AD337:AE337"/>
    <mergeCell ref="AG337:AH337"/>
    <mergeCell ref="AJ337:AK337"/>
    <mergeCell ref="C336:D336"/>
    <mergeCell ref="F336:G336"/>
    <mergeCell ref="I336:J336"/>
    <mergeCell ref="L336:M336"/>
    <mergeCell ref="O336:P336"/>
    <mergeCell ref="R336:S336"/>
    <mergeCell ref="U336:V336"/>
    <mergeCell ref="X336:Y336"/>
    <mergeCell ref="AA336:AB336"/>
    <mergeCell ref="AD338:AE338"/>
    <mergeCell ref="AG338:AH338"/>
    <mergeCell ref="AJ338:AK338"/>
    <mergeCell ref="C339:D339"/>
    <mergeCell ref="F339:G339"/>
    <mergeCell ref="I339:J339"/>
    <mergeCell ref="L339:M339"/>
    <mergeCell ref="O339:P339"/>
    <mergeCell ref="R339:S339"/>
    <mergeCell ref="U339:V339"/>
    <mergeCell ref="X339:Y339"/>
    <mergeCell ref="AA339:AB339"/>
    <mergeCell ref="AD339:AE339"/>
    <mergeCell ref="AG339:AH339"/>
    <mergeCell ref="AJ339:AK339"/>
    <mergeCell ref="C338:D338"/>
    <mergeCell ref="F338:G338"/>
    <mergeCell ref="I338:J338"/>
    <mergeCell ref="L338:M338"/>
    <mergeCell ref="O338:P338"/>
    <mergeCell ref="R338:S338"/>
    <mergeCell ref="U338:V338"/>
    <mergeCell ref="X338:Y338"/>
    <mergeCell ref="AA338:AB338"/>
    <mergeCell ref="AD341:AE341"/>
    <mergeCell ref="AG341:AH341"/>
    <mergeCell ref="AJ341:AK341"/>
    <mergeCell ref="C342:D342"/>
    <mergeCell ref="F342:G342"/>
    <mergeCell ref="I342:J342"/>
    <mergeCell ref="L342:M342"/>
    <mergeCell ref="O342:P342"/>
    <mergeCell ref="R342:S342"/>
    <mergeCell ref="U342:V342"/>
    <mergeCell ref="X342:Y342"/>
    <mergeCell ref="AA342:AB342"/>
    <mergeCell ref="AD342:AE342"/>
    <mergeCell ref="AG342:AH342"/>
    <mergeCell ref="AJ342:AK342"/>
    <mergeCell ref="C341:D341"/>
    <mergeCell ref="F341:G341"/>
    <mergeCell ref="I341:J341"/>
    <mergeCell ref="L341:M341"/>
    <mergeCell ref="O341:P341"/>
    <mergeCell ref="R341:S341"/>
    <mergeCell ref="U341:V341"/>
    <mergeCell ref="X341:Y341"/>
    <mergeCell ref="AA341:AB341"/>
    <mergeCell ref="AD343:AE343"/>
    <mergeCell ref="AG343:AH343"/>
    <mergeCell ref="AJ343:AK343"/>
    <mergeCell ref="C385:D385"/>
    <mergeCell ref="F385:G385"/>
    <mergeCell ref="I385:J385"/>
    <mergeCell ref="L385:M385"/>
    <mergeCell ref="O385:P385"/>
    <mergeCell ref="R385:S385"/>
    <mergeCell ref="U385:V385"/>
    <mergeCell ref="X385:Y385"/>
    <mergeCell ref="AA385:AB385"/>
    <mergeCell ref="AD385:AE385"/>
    <mergeCell ref="AG385:AH385"/>
    <mergeCell ref="AJ385:AK385"/>
    <mergeCell ref="C343:D343"/>
    <mergeCell ref="F343:G343"/>
    <mergeCell ref="I343:J343"/>
    <mergeCell ref="L343:M343"/>
    <mergeCell ref="O343:P343"/>
    <mergeCell ref="R343:S343"/>
    <mergeCell ref="U343:V343"/>
    <mergeCell ref="X343:Y343"/>
    <mergeCell ref="AA343:AB343"/>
    <mergeCell ref="U348:W348"/>
    <mergeCell ref="X348:Z348"/>
    <mergeCell ref="AA348:AC348"/>
    <mergeCell ref="AD348:AF348"/>
    <mergeCell ref="AG348:AI348"/>
    <mergeCell ref="AJ348:AL348"/>
    <mergeCell ref="C348:E348"/>
    <mergeCell ref="F348:H348"/>
    <mergeCell ref="AD386:AE386"/>
    <mergeCell ref="AG386:AH386"/>
    <mergeCell ref="AJ386:AK386"/>
    <mergeCell ref="C387:D387"/>
    <mergeCell ref="F387:G387"/>
    <mergeCell ref="I387:J387"/>
    <mergeCell ref="L387:M387"/>
    <mergeCell ref="O387:P387"/>
    <mergeCell ref="R387:S387"/>
    <mergeCell ref="U387:V387"/>
    <mergeCell ref="X387:Y387"/>
    <mergeCell ref="AA387:AB387"/>
    <mergeCell ref="AD387:AE387"/>
    <mergeCell ref="AG387:AH387"/>
    <mergeCell ref="AJ387:AK387"/>
    <mergeCell ref="C386:D386"/>
    <mergeCell ref="F386:G386"/>
    <mergeCell ref="I386:J386"/>
    <mergeCell ref="L386:M386"/>
    <mergeCell ref="O386:P386"/>
    <mergeCell ref="R386:S386"/>
    <mergeCell ref="U386:V386"/>
    <mergeCell ref="X386:Y386"/>
    <mergeCell ref="AA386:AB386"/>
    <mergeCell ref="AD388:AE388"/>
    <mergeCell ref="AG388:AH388"/>
    <mergeCell ref="AJ388:AK388"/>
    <mergeCell ref="C389:D389"/>
    <mergeCell ref="F389:G389"/>
    <mergeCell ref="I389:J389"/>
    <mergeCell ref="L389:M389"/>
    <mergeCell ref="O389:P389"/>
    <mergeCell ref="R389:S389"/>
    <mergeCell ref="U389:V389"/>
    <mergeCell ref="X389:Y389"/>
    <mergeCell ref="AA389:AB389"/>
    <mergeCell ref="AD389:AE389"/>
    <mergeCell ref="AG389:AH389"/>
    <mergeCell ref="AJ389:AK389"/>
    <mergeCell ref="C388:D388"/>
    <mergeCell ref="F388:G388"/>
    <mergeCell ref="I388:J388"/>
    <mergeCell ref="L388:M388"/>
    <mergeCell ref="O388:P388"/>
    <mergeCell ref="R388:S388"/>
    <mergeCell ref="U388:V388"/>
    <mergeCell ref="X388:Y388"/>
    <mergeCell ref="AA388:AB388"/>
    <mergeCell ref="AD390:AE390"/>
    <mergeCell ref="AG390:AH390"/>
    <mergeCell ref="AJ390:AK390"/>
    <mergeCell ref="C391:D391"/>
    <mergeCell ref="F391:G391"/>
    <mergeCell ref="I391:J391"/>
    <mergeCell ref="L391:M391"/>
    <mergeCell ref="O391:P391"/>
    <mergeCell ref="R391:S391"/>
    <mergeCell ref="U391:V391"/>
    <mergeCell ref="X391:Y391"/>
    <mergeCell ref="AA391:AB391"/>
    <mergeCell ref="AD391:AE391"/>
    <mergeCell ref="AG391:AH391"/>
    <mergeCell ref="AJ391:AK391"/>
    <mergeCell ref="C390:D390"/>
    <mergeCell ref="F390:G390"/>
    <mergeCell ref="I390:J390"/>
    <mergeCell ref="L390:M390"/>
    <mergeCell ref="O390:P390"/>
    <mergeCell ref="R390:S390"/>
    <mergeCell ref="U390:V390"/>
    <mergeCell ref="X390:Y390"/>
    <mergeCell ref="AA390:AB390"/>
    <mergeCell ref="AD392:AE392"/>
    <mergeCell ref="AG392:AH392"/>
    <mergeCell ref="AJ392:AK392"/>
    <mergeCell ref="C393:D393"/>
    <mergeCell ref="F393:G393"/>
    <mergeCell ref="I393:J393"/>
    <mergeCell ref="L393:M393"/>
    <mergeCell ref="O393:P393"/>
    <mergeCell ref="R393:S393"/>
    <mergeCell ref="U393:V393"/>
    <mergeCell ref="X393:Y393"/>
    <mergeCell ref="AA393:AB393"/>
    <mergeCell ref="AD393:AE393"/>
    <mergeCell ref="AG393:AH393"/>
    <mergeCell ref="AJ393:AK393"/>
    <mergeCell ref="C392:D392"/>
    <mergeCell ref="F392:G392"/>
    <mergeCell ref="I392:J392"/>
    <mergeCell ref="L392:M392"/>
    <mergeCell ref="O392:P392"/>
    <mergeCell ref="R392:S392"/>
    <mergeCell ref="U392:V392"/>
    <mergeCell ref="X392:Y392"/>
    <mergeCell ref="AA392:AB392"/>
    <mergeCell ref="AD394:AE394"/>
    <mergeCell ref="AG394:AH394"/>
    <mergeCell ref="AJ394:AK394"/>
    <mergeCell ref="C395:D395"/>
    <mergeCell ref="F395:G395"/>
    <mergeCell ref="I395:J395"/>
    <mergeCell ref="L395:M395"/>
    <mergeCell ref="O395:P395"/>
    <mergeCell ref="R395:S395"/>
    <mergeCell ref="U395:V395"/>
    <mergeCell ref="X395:Y395"/>
    <mergeCell ref="AA395:AB395"/>
    <mergeCell ref="AD395:AE395"/>
    <mergeCell ref="AG395:AH395"/>
    <mergeCell ref="AJ395:AK395"/>
    <mergeCell ref="C394:D394"/>
    <mergeCell ref="F394:G394"/>
    <mergeCell ref="I394:J394"/>
    <mergeCell ref="L394:M394"/>
    <mergeCell ref="O394:P394"/>
    <mergeCell ref="R394:S394"/>
    <mergeCell ref="U394:V394"/>
    <mergeCell ref="X394:Y394"/>
    <mergeCell ref="AA394:AB394"/>
    <mergeCell ref="AD396:AE396"/>
    <mergeCell ref="AG396:AH396"/>
    <mergeCell ref="AJ396:AK396"/>
    <mergeCell ref="C397:D397"/>
    <mergeCell ref="F397:G397"/>
    <mergeCell ref="I397:J397"/>
    <mergeCell ref="L397:M397"/>
    <mergeCell ref="O397:P397"/>
    <mergeCell ref="R397:S397"/>
    <mergeCell ref="U397:V397"/>
    <mergeCell ref="X397:Y397"/>
    <mergeCell ref="AA397:AB397"/>
    <mergeCell ref="AD397:AE397"/>
    <mergeCell ref="AG397:AH397"/>
    <mergeCell ref="AJ397:AK397"/>
    <mergeCell ref="C396:D396"/>
    <mergeCell ref="F396:G396"/>
    <mergeCell ref="I396:J396"/>
    <mergeCell ref="L396:M396"/>
    <mergeCell ref="O396:P396"/>
    <mergeCell ref="R396:S396"/>
    <mergeCell ref="U396:V396"/>
    <mergeCell ref="X396:Y396"/>
    <mergeCell ref="AA396:AB396"/>
    <mergeCell ref="AD398:AE398"/>
    <mergeCell ref="AG398:AH398"/>
    <mergeCell ref="AJ398:AK398"/>
    <mergeCell ref="C399:D399"/>
    <mergeCell ref="F399:G399"/>
    <mergeCell ref="I399:J399"/>
    <mergeCell ref="L399:M399"/>
    <mergeCell ref="O399:P399"/>
    <mergeCell ref="R399:S399"/>
    <mergeCell ref="U399:V399"/>
    <mergeCell ref="X399:Y399"/>
    <mergeCell ref="AA399:AB399"/>
    <mergeCell ref="AD399:AE399"/>
    <mergeCell ref="AG399:AH399"/>
    <mergeCell ref="AJ399:AK399"/>
    <mergeCell ref="C398:D398"/>
    <mergeCell ref="F398:G398"/>
    <mergeCell ref="I398:J398"/>
    <mergeCell ref="L398:M398"/>
    <mergeCell ref="O398:P398"/>
    <mergeCell ref="R398:S398"/>
    <mergeCell ref="U398:V398"/>
    <mergeCell ref="X398:Y398"/>
    <mergeCell ref="AA398:AB398"/>
    <mergeCell ref="AD400:AE400"/>
    <mergeCell ref="AG400:AH400"/>
    <mergeCell ref="AJ400:AK400"/>
    <mergeCell ref="C401:D401"/>
    <mergeCell ref="F401:G401"/>
    <mergeCell ref="I401:J401"/>
    <mergeCell ref="L401:M401"/>
    <mergeCell ref="O401:P401"/>
    <mergeCell ref="R401:S401"/>
    <mergeCell ref="U401:V401"/>
    <mergeCell ref="X401:Y401"/>
    <mergeCell ref="AA401:AB401"/>
    <mergeCell ref="AD401:AE401"/>
    <mergeCell ref="AG401:AH401"/>
    <mergeCell ref="AJ401:AK401"/>
    <mergeCell ref="C400:D400"/>
    <mergeCell ref="F400:G400"/>
    <mergeCell ref="I400:J400"/>
    <mergeCell ref="L400:M400"/>
    <mergeCell ref="O400:P400"/>
    <mergeCell ref="R400:S400"/>
    <mergeCell ref="U400:V400"/>
    <mergeCell ref="X400:Y400"/>
    <mergeCell ref="AA400:AB400"/>
    <mergeCell ref="AD402:AE402"/>
    <mergeCell ref="AG402:AH402"/>
    <mergeCell ref="AJ402:AK402"/>
    <mergeCell ref="C403:D403"/>
    <mergeCell ref="F403:G403"/>
    <mergeCell ref="I403:J403"/>
    <mergeCell ref="L403:M403"/>
    <mergeCell ref="O403:P403"/>
    <mergeCell ref="R403:S403"/>
    <mergeCell ref="U403:V403"/>
    <mergeCell ref="X403:Y403"/>
    <mergeCell ref="AA403:AB403"/>
    <mergeCell ref="AD403:AE403"/>
    <mergeCell ref="AG403:AH403"/>
    <mergeCell ref="AJ403:AK403"/>
    <mergeCell ref="C402:D402"/>
    <mergeCell ref="F402:G402"/>
    <mergeCell ref="I402:J402"/>
    <mergeCell ref="L402:M402"/>
    <mergeCell ref="O402:P402"/>
    <mergeCell ref="R402:S402"/>
    <mergeCell ref="U402:V402"/>
    <mergeCell ref="X402:Y402"/>
    <mergeCell ref="AA402:AB402"/>
    <mergeCell ref="AD404:AE404"/>
    <mergeCell ref="AG404:AH404"/>
    <mergeCell ref="AJ404:AK404"/>
    <mergeCell ref="C406:D406"/>
    <mergeCell ref="F406:G406"/>
    <mergeCell ref="I406:J406"/>
    <mergeCell ref="L406:M406"/>
    <mergeCell ref="O406:P406"/>
    <mergeCell ref="R406:S406"/>
    <mergeCell ref="U406:V406"/>
    <mergeCell ref="X406:Y406"/>
    <mergeCell ref="AA406:AB406"/>
    <mergeCell ref="AD406:AE406"/>
    <mergeCell ref="AG406:AH406"/>
    <mergeCell ref="AJ406:AK406"/>
    <mergeCell ref="C404:D404"/>
    <mergeCell ref="F404:G404"/>
    <mergeCell ref="I404:J404"/>
    <mergeCell ref="L404:M404"/>
    <mergeCell ref="O404:P404"/>
    <mergeCell ref="R404:S404"/>
    <mergeCell ref="U404:V404"/>
    <mergeCell ref="X404:Y404"/>
    <mergeCell ref="AA404:AB404"/>
    <mergeCell ref="U451:V451"/>
    <mergeCell ref="X451:Y451"/>
    <mergeCell ref="AA451:AB451"/>
    <mergeCell ref="AD451:AE451"/>
    <mergeCell ref="AG451:AH451"/>
    <mergeCell ref="AJ451:AK451"/>
    <mergeCell ref="AD407:AE407"/>
    <mergeCell ref="AG407:AH407"/>
    <mergeCell ref="AJ407:AK407"/>
    <mergeCell ref="C408:D408"/>
    <mergeCell ref="F408:G408"/>
    <mergeCell ref="I408:J408"/>
    <mergeCell ref="L408:M408"/>
    <mergeCell ref="O408:P408"/>
    <mergeCell ref="R408:S408"/>
    <mergeCell ref="U408:V408"/>
    <mergeCell ref="X408:Y408"/>
    <mergeCell ref="AA408:AB408"/>
    <mergeCell ref="AD408:AE408"/>
    <mergeCell ref="AG408:AH408"/>
    <mergeCell ref="AJ408:AK408"/>
    <mergeCell ref="C407:D407"/>
    <mergeCell ref="F407:G407"/>
    <mergeCell ref="I407:J407"/>
    <mergeCell ref="L407:M407"/>
    <mergeCell ref="O407:P407"/>
    <mergeCell ref="R407:S407"/>
    <mergeCell ref="U407:V407"/>
    <mergeCell ref="X407:Y407"/>
    <mergeCell ref="AA407:AB407"/>
    <mergeCell ref="X450:Y450"/>
    <mergeCell ref="AA450:AB450"/>
    <mergeCell ref="AD452:AE452"/>
    <mergeCell ref="AG452:AH452"/>
    <mergeCell ref="AJ452:AK452"/>
    <mergeCell ref="C453:D453"/>
    <mergeCell ref="F453:G453"/>
    <mergeCell ref="I453:J453"/>
    <mergeCell ref="L453:M453"/>
    <mergeCell ref="O453:P453"/>
    <mergeCell ref="R453:S453"/>
    <mergeCell ref="U453:V453"/>
    <mergeCell ref="X453:Y453"/>
    <mergeCell ref="AA453:AB453"/>
    <mergeCell ref="AD453:AE453"/>
    <mergeCell ref="AG453:AH453"/>
    <mergeCell ref="AJ453:AK453"/>
    <mergeCell ref="C452:D452"/>
    <mergeCell ref="F452:G452"/>
    <mergeCell ref="I452:J452"/>
    <mergeCell ref="L452:M452"/>
    <mergeCell ref="O452:P452"/>
    <mergeCell ref="R452:S452"/>
    <mergeCell ref="U452:V452"/>
    <mergeCell ref="X452:Y452"/>
    <mergeCell ref="AA452:AB452"/>
    <mergeCell ref="AD454:AE454"/>
    <mergeCell ref="AG454:AH454"/>
    <mergeCell ref="AJ454:AK454"/>
    <mergeCell ref="C455:D455"/>
    <mergeCell ref="F455:G455"/>
    <mergeCell ref="I455:J455"/>
    <mergeCell ref="L455:M455"/>
    <mergeCell ref="O455:P455"/>
    <mergeCell ref="R455:S455"/>
    <mergeCell ref="U455:V455"/>
    <mergeCell ref="X455:Y455"/>
    <mergeCell ref="AA455:AB455"/>
    <mergeCell ref="AD455:AE455"/>
    <mergeCell ref="AG455:AH455"/>
    <mergeCell ref="AJ455:AK455"/>
    <mergeCell ref="C454:D454"/>
    <mergeCell ref="F454:G454"/>
    <mergeCell ref="I454:J454"/>
    <mergeCell ref="L454:M454"/>
    <mergeCell ref="O454:P454"/>
    <mergeCell ref="R454:S454"/>
    <mergeCell ref="U454:V454"/>
    <mergeCell ref="X454:Y454"/>
    <mergeCell ref="AA454:AB454"/>
    <mergeCell ref="AD456:AE456"/>
    <mergeCell ref="AG456:AH456"/>
    <mergeCell ref="AJ456:AK456"/>
    <mergeCell ref="C457:D457"/>
    <mergeCell ref="F457:G457"/>
    <mergeCell ref="I457:J457"/>
    <mergeCell ref="L457:M457"/>
    <mergeCell ref="O457:P457"/>
    <mergeCell ref="R457:S457"/>
    <mergeCell ref="U457:V457"/>
    <mergeCell ref="X457:Y457"/>
    <mergeCell ref="AA457:AB457"/>
    <mergeCell ref="AD457:AE457"/>
    <mergeCell ref="AG457:AH457"/>
    <mergeCell ref="AJ457:AK457"/>
    <mergeCell ref="C456:D456"/>
    <mergeCell ref="F456:G456"/>
    <mergeCell ref="I456:J456"/>
    <mergeCell ref="L456:M456"/>
    <mergeCell ref="O456:P456"/>
    <mergeCell ref="R456:S456"/>
    <mergeCell ref="U456:V456"/>
    <mergeCell ref="X456:Y456"/>
    <mergeCell ref="AA456:AB456"/>
    <mergeCell ref="AD458:AE458"/>
    <mergeCell ref="AG458:AH458"/>
    <mergeCell ref="AJ458:AK458"/>
    <mergeCell ref="C459:D459"/>
    <mergeCell ref="F459:G459"/>
    <mergeCell ref="I459:J459"/>
    <mergeCell ref="L459:M459"/>
    <mergeCell ref="O459:P459"/>
    <mergeCell ref="R459:S459"/>
    <mergeCell ref="U459:V459"/>
    <mergeCell ref="X459:Y459"/>
    <mergeCell ref="AA459:AB459"/>
    <mergeCell ref="AD459:AE459"/>
    <mergeCell ref="AG459:AH459"/>
    <mergeCell ref="AJ459:AK459"/>
    <mergeCell ref="C458:D458"/>
    <mergeCell ref="F458:G458"/>
    <mergeCell ref="I458:J458"/>
    <mergeCell ref="L458:M458"/>
    <mergeCell ref="O458:P458"/>
    <mergeCell ref="R458:S458"/>
    <mergeCell ref="U458:V458"/>
    <mergeCell ref="X458:Y458"/>
    <mergeCell ref="AA458:AB458"/>
    <mergeCell ref="AD460:AE460"/>
    <mergeCell ref="AG460:AH460"/>
    <mergeCell ref="AJ460:AK460"/>
    <mergeCell ref="C461:D461"/>
    <mergeCell ref="F461:G461"/>
    <mergeCell ref="I461:J461"/>
    <mergeCell ref="L461:M461"/>
    <mergeCell ref="O461:P461"/>
    <mergeCell ref="R461:S461"/>
    <mergeCell ref="U461:V461"/>
    <mergeCell ref="X461:Y461"/>
    <mergeCell ref="AA461:AB461"/>
    <mergeCell ref="AD461:AE461"/>
    <mergeCell ref="AG461:AH461"/>
    <mergeCell ref="AJ461:AK461"/>
    <mergeCell ref="C460:D460"/>
    <mergeCell ref="F460:G460"/>
    <mergeCell ref="I460:J460"/>
    <mergeCell ref="L460:M460"/>
    <mergeCell ref="O460:P460"/>
    <mergeCell ref="R460:S460"/>
    <mergeCell ref="U460:V460"/>
    <mergeCell ref="X460:Y460"/>
    <mergeCell ref="AA460:AB460"/>
    <mergeCell ref="AD462:AE462"/>
    <mergeCell ref="AG462:AH462"/>
    <mergeCell ref="AJ462:AK462"/>
    <mergeCell ref="C463:D463"/>
    <mergeCell ref="F463:G463"/>
    <mergeCell ref="I463:J463"/>
    <mergeCell ref="L463:M463"/>
    <mergeCell ref="O463:P463"/>
    <mergeCell ref="R463:S463"/>
    <mergeCell ref="U463:V463"/>
    <mergeCell ref="X463:Y463"/>
    <mergeCell ref="AA463:AB463"/>
    <mergeCell ref="AD463:AE463"/>
    <mergeCell ref="AG463:AH463"/>
    <mergeCell ref="AJ463:AK463"/>
    <mergeCell ref="C462:D462"/>
    <mergeCell ref="F462:G462"/>
    <mergeCell ref="I462:J462"/>
    <mergeCell ref="L462:M462"/>
    <mergeCell ref="O462:P462"/>
    <mergeCell ref="R462:S462"/>
    <mergeCell ref="U462:V462"/>
    <mergeCell ref="X462:Y462"/>
    <mergeCell ref="AA462:AB462"/>
    <mergeCell ref="AD464:AE464"/>
    <mergeCell ref="AG464:AH464"/>
    <mergeCell ref="AJ464:AK464"/>
    <mergeCell ref="C465:D465"/>
    <mergeCell ref="F465:G465"/>
    <mergeCell ref="I465:J465"/>
    <mergeCell ref="L465:M465"/>
    <mergeCell ref="O465:P465"/>
    <mergeCell ref="R465:S465"/>
    <mergeCell ref="U465:V465"/>
    <mergeCell ref="X465:Y465"/>
    <mergeCell ref="AA465:AB465"/>
    <mergeCell ref="AD465:AE465"/>
    <mergeCell ref="AG465:AH465"/>
    <mergeCell ref="AJ465:AK465"/>
    <mergeCell ref="C464:D464"/>
    <mergeCell ref="F464:G464"/>
    <mergeCell ref="I464:J464"/>
    <mergeCell ref="L464:M464"/>
    <mergeCell ref="O464:P464"/>
    <mergeCell ref="R464:S464"/>
    <mergeCell ref="U464:V464"/>
    <mergeCell ref="X464:Y464"/>
    <mergeCell ref="AA464:AB464"/>
    <mergeCell ref="AD466:AE466"/>
    <mergeCell ref="AG466:AH466"/>
    <mergeCell ref="AJ466:AK466"/>
    <mergeCell ref="C467:D467"/>
    <mergeCell ref="F467:G467"/>
    <mergeCell ref="I467:J467"/>
    <mergeCell ref="L467:M467"/>
    <mergeCell ref="O467:P467"/>
    <mergeCell ref="R467:S467"/>
    <mergeCell ref="U467:V467"/>
    <mergeCell ref="X467:Y467"/>
    <mergeCell ref="AA467:AB467"/>
    <mergeCell ref="AD467:AE467"/>
    <mergeCell ref="AG467:AH467"/>
    <mergeCell ref="AJ467:AK467"/>
    <mergeCell ref="C466:D466"/>
    <mergeCell ref="F466:G466"/>
    <mergeCell ref="I466:J466"/>
    <mergeCell ref="L466:M466"/>
    <mergeCell ref="O466:P466"/>
    <mergeCell ref="R466:S466"/>
    <mergeCell ref="U466:V466"/>
    <mergeCell ref="X466:Y466"/>
    <mergeCell ref="AA466:AB466"/>
    <mergeCell ref="AD468:AE468"/>
    <mergeCell ref="AG468:AH468"/>
    <mergeCell ref="AJ468:AK468"/>
    <mergeCell ref="C469:D469"/>
    <mergeCell ref="F469:G469"/>
    <mergeCell ref="I469:J469"/>
    <mergeCell ref="L469:M469"/>
    <mergeCell ref="O469:P469"/>
    <mergeCell ref="R469:S469"/>
    <mergeCell ref="U469:V469"/>
    <mergeCell ref="X469:Y469"/>
    <mergeCell ref="AA469:AB469"/>
    <mergeCell ref="AD469:AE469"/>
    <mergeCell ref="AG469:AH469"/>
    <mergeCell ref="AJ469:AK469"/>
    <mergeCell ref="C468:D468"/>
    <mergeCell ref="F468:G468"/>
    <mergeCell ref="I468:J468"/>
    <mergeCell ref="L468:M468"/>
    <mergeCell ref="O468:P468"/>
    <mergeCell ref="R468:S468"/>
    <mergeCell ref="U468:V468"/>
    <mergeCell ref="X468:Y468"/>
    <mergeCell ref="AA468:AB468"/>
    <mergeCell ref="AD515:AE515"/>
    <mergeCell ref="AG515:AH515"/>
    <mergeCell ref="AJ515:AK515"/>
    <mergeCell ref="C516:D516"/>
    <mergeCell ref="F516:G516"/>
    <mergeCell ref="I516:J516"/>
    <mergeCell ref="L516:M516"/>
    <mergeCell ref="O516:P516"/>
    <mergeCell ref="R516:S516"/>
    <mergeCell ref="U516:V516"/>
    <mergeCell ref="X516:Y516"/>
    <mergeCell ref="AA516:AB516"/>
    <mergeCell ref="AD516:AE516"/>
    <mergeCell ref="AG516:AH516"/>
    <mergeCell ref="AJ516:AK516"/>
    <mergeCell ref="C515:D515"/>
    <mergeCell ref="F515:G515"/>
    <mergeCell ref="I515:J515"/>
    <mergeCell ref="L515:M515"/>
    <mergeCell ref="O515:P515"/>
    <mergeCell ref="R515:S515"/>
    <mergeCell ref="U515:V515"/>
    <mergeCell ref="X515:Y515"/>
    <mergeCell ref="AA515:AB515"/>
    <mergeCell ref="AD517:AE517"/>
    <mergeCell ref="AG517:AH517"/>
    <mergeCell ref="AJ517:AK517"/>
    <mergeCell ref="C518:D518"/>
    <mergeCell ref="F518:G518"/>
    <mergeCell ref="I518:J518"/>
    <mergeCell ref="L518:M518"/>
    <mergeCell ref="O518:P518"/>
    <mergeCell ref="R518:S518"/>
    <mergeCell ref="U518:V518"/>
    <mergeCell ref="X518:Y518"/>
    <mergeCell ref="AA518:AB518"/>
    <mergeCell ref="AD518:AE518"/>
    <mergeCell ref="AG518:AH518"/>
    <mergeCell ref="AJ518:AK518"/>
    <mergeCell ref="C517:D517"/>
    <mergeCell ref="F517:G517"/>
    <mergeCell ref="I517:J517"/>
    <mergeCell ref="L517:M517"/>
    <mergeCell ref="O517:P517"/>
    <mergeCell ref="R517:S517"/>
    <mergeCell ref="U517:V517"/>
    <mergeCell ref="X517:Y517"/>
    <mergeCell ref="AA517:AB517"/>
    <mergeCell ref="AD519:AE519"/>
    <mergeCell ref="AG519:AH519"/>
    <mergeCell ref="AJ519:AK519"/>
    <mergeCell ref="C520:D520"/>
    <mergeCell ref="F520:G520"/>
    <mergeCell ref="I520:J520"/>
    <mergeCell ref="L520:M520"/>
    <mergeCell ref="O520:P520"/>
    <mergeCell ref="R520:S520"/>
    <mergeCell ref="U520:V520"/>
    <mergeCell ref="X520:Y520"/>
    <mergeCell ref="AA520:AB520"/>
    <mergeCell ref="AD520:AE520"/>
    <mergeCell ref="AG520:AH520"/>
    <mergeCell ref="AJ520:AK520"/>
    <mergeCell ref="C519:D519"/>
    <mergeCell ref="F519:G519"/>
    <mergeCell ref="I519:J519"/>
    <mergeCell ref="L519:M519"/>
    <mergeCell ref="O519:P519"/>
    <mergeCell ref="R519:S519"/>
    <mergeCell ref="U519:V519"/>
    <mergeCell ref="X519:Y519"/>
    <mergeCell ref="AA519:AB519"/>
    <mergeCell ref="AD521:AE521"/>
    <mergeCell ref="AG521:AH521"/>
    <mergeCell ref="AJ521:AK521"/>
    <mergeCell ref="C522:D522"/>
    <mergeCell ref="F522:G522"/>
    <mergeCell ref="I522:J522"/>
    <mergeCell ref="L522:M522"/>
    <mergeCell ref="O522:P522"/>
    <mergeCell ref="R522:S522"/>
    <mergeCell ref="U522:V522"/>
    <mergeCell ref="X522:Y522"/>
    <mergeCell ref="AA522:AB522"/>
    <mergeCell ref="AD522:AE522"/>
    <mergeCell ref="AG522:AH522"/>
    <mergeCell ref="AJ522:AK522"/>
    <mergeCell ref="C521:D521"/>
    <mergeCell ref="F521:G521"/>
    <mergeCell ref="I521:J521"/>
    <mergeCell ref="L521:M521"/>
    <mergeCell ref="O521:P521"/>
    <mergeCell ref="R521:S521"/>
    <mergeCell ref="U521:V521"/>
    <mergeCell ref="X521:Y521"/>
    <mergeCell ref="AA521:AB521"/>
    <mergeCell ref="AD523:AE523"/>
    <mergeCell ref="AG523:AH523"/>
    <mergeCell ref="AJ523:AK523"/>
    <mergeCell ref="C524:D524"/>
    <mergeCell ref="F524:G524"/>
    <mergeCell ref="I524:J524"/>
    <mergeCell ref="L524:M524"/>
    <mergeCell ref="O524:P524"/>
    <mergeCell ref="R524:S524"/>
    <mergeCell ref="U524:V524"/>
    <mergeCell ref="X524:Y524"/>
    <mergeCell ref="AA524:AB524"/>
    <mergeCell ref="AD524:AE524"/>
    <mergeCell ref="AG524:AH524"/>
    <mergeCell ref="AJ524:AK524"/>
    <mergeCell ref="C523:D523"/>
    <mergeCell ref="F523:G523"/>
    <mergeCell ref="I523:J523"/>
    <mergeCell ref="L523:M523"/>
    <mergeCell ref="O523:P523"/>
    <mergeCell ref="R523:S523"/>
    <mergeCell ref="U523:V523"/>
    <mergeCell ref="X523:Y523"/>
    <mergeCell ref="AA523:AB523"/>
    <mergeCell ref="F527:G527"/>
    <mergeCell ref="I527:J527"/>
    <mergeCell ref="L527:M527"/>
    <mergeCell ref="O527:P527"/>
    <mergeCell ref="R527:S527"/>
    <mergeCell ref="U527:V527"/>
    <mergeCell ref="X527:Y527"/>
    <mergeCell ref="AA527:AB527"/>
    <mergeCell ref="AD525:AE525"/>
    <mergeCell ref="AG525:AH525"/>
    <mergeCell ref="AJ525:AK525"/>
    <mergeCell ref="C526:D526"/>
    <mergeCell ref="F526:G526"/>
    <mergeCell ref="I526:J526"/>
    <mergeCell ref="L526:M526"/>
    <mergeCell ref="O526:P526"/>
    <mergeCell ref="R526:S526"/>
    <mergeCell ref="U526:V526"/>
    <mergeCell ref="X526:Y526"/>
    <mergeCell ref="AA526:AB526"/>
    <mergeCell ref="AD526:AE526"/>
    <mergeCell ref="AG526:AH526"/>
    <mergeCell ref="AJ526:AK526"/>
    <mergeCell ref="C525:D525"/>
    <mergeCell ref="F525:G525"/>
    <mergeCell ref="I525:J525"/>
    <mergeCell ref="L525:M525"/>
    <mergeCell ref="O525:P525"/>
    <mergeCell ref="R525:S525"/>
    <mergeCell ref="U525:V525"/>
    <mergeCell ref="X525:Y525"/>
    <mergeCell ref="AA525:AB525"/>
    <mergeCell ref="R530:S530"/>
    <mergeCell ref="U530:V530"/>
    <mergeCell ref="X530:Y530"/>
    <mergeCell ref="AA530:AB530"/>
    <mergeCell ref="AD530:AE530"/>
    <mergeCell ref="AG530:AH530"/>
    <mergeCell ref="AJ530:AK530"/>
    <mergeCell ref="C529:D529"/>
    <mergeCell ref="F529:G529"/>
    <mergeCell ref="I529:J529"/>
    <mergeCell ref="L529:M529"/>
    <mergeCell ref="O529:P529"/>
    <mergeCell ref="R529:S529"/>
    <mergeCell ref="U529:V529"/>
    <mergeCell ref="X529:Y529"/>
    <mergeCell ref="AA529:AB529"/>
    <mergeCell ref="AD527:AE527"/>
    <mergeCell ref="AG527:AH527"/>
    <mergeCell ref="AJ527:AK527"/>
    <mergeCell ref="C528:D528"/>
    <mergeCell ref="F528:G528"/>
    <mergeCell ref="I528:J528"/>
    <mergeCell ref="L528:M528"/>
    <mergeCell ref="O528:P528"/>
    <mergeCell ref="R528:S528"/>
    <mergeCell ref="U528:V528"/>
    <mergeCell ref="X528:Y528"/>
    <mergeCell ref="AA528:AB528"/>
    <mergeCell ref="AD528:AE528"/>
    <mergeCell ref="AG528:AH528"/>
    <mergeCell ref="AJ528:AK528"/>
    <mergeCell ref="C527:D527"/>
    <mergeCell ref="AD471:AE471"/>
    <mergeCell ref="AG471:AH471"/>
    <mergeCell ref="AJ471:AK471"/>
    <mergeCell ref="C472:D472"/>
    <mergeCell ref="F472:G472"/>
    <mergeCell ref="I472:J472"/>
    <mergeCell ref="L472:M472"/>
    <mergeCell ref="O472:P472"/>
    <mergeCell ref="R472:S472"/>
    <mergeCell ref="U472:V472"/>
    <mergeCell ref="X472:Y472"/>
    <mergeCell ref="AA472:AB472"/>
    <mergeCell ref="AD472:AE472"/>
    <mergeCell ref="AG472:AH472"/>
    <mergeCell ref="AJ472:AK472"/>
    <mergeCell ref="C471:D471"/>
    <mergeCell ref="F471:G471"/>
    <mergeCell ref="I471:J471"/>
    <mergeCell ref="L471:M471"/>
    <mergeCell ref="O471:P471"/>
    <mergeCell ref="R471:S471"/>
    <mergeCell ref="U471:V471"/>
    <mergeCell ref="X471:Y471"/>
    <mergeCell ref="AA471:AB471"/>
    <mergeCell ref="AD473:AE473"/>
    <mergeCell ref="AG473:AH473"/>
    <mergeCell ref="AJ473:AK473"/>
    <mergeCell ref="C531:D531"/>
    <mergeCell ref="F531:G531"/>
    <mergeCell ref="I531:J531"/>
    <mergeCell ref="L531:M531"/>
    <mergeCell ref="O531:P531"/>
    <mergeCell ref="R531:S531"/>
    <mergeCell ref="U531:V531"/>
    <mergeCell ref="X531:Y531"/>
    <mergeCell ref="AA531:AB531"/>
    <mergeCell ref="AD531:AE531"/>
    <mergeCell ref="AG531:AH531"/>
    <mergeCell ref="AJ531:AK531"/>
    <mergeCell ref="C473:D473"/>
    <mergeCell ref="F473:G473"/>
    <mergeCell ref="I473:J473"/>
    <mergeCell ref="L473:M473"/>
    <mergeCell ref="O473:P473"/>
    <mergeCell ref="R473:S473"/>
    <mergeCell ref="U473:V473"/>
    <mergeCell ref="X473:Y473"/>
    <mergeCell ref="AA473:AB473"/>
    <mergeCell ref="AD529:AE529"/>
    <mergeCell ref="AG529:AH529"/>
    <mergeCell ref="AJ529:AK529"/>
    <mergeCell ref="C530:D530"/>
    <mergeCell ref="F530:G530"/>
    <mergeCell ref="I530:J530"/>
    <mergeCell ref="L530:M530"/>
    <mergeCell ref="O530:P530"/>
    <mergeCell ref="AD532:AE532"/>
    <mergeCell ref="AG532:AH532"/>
    <mergeCell ref="AJ532:AK532"/>
    <mergeCell ref="C533:D533"/>
    <mergeCell ref="F533:G533"/>
    <mergeCell ref="I533:J533"/>
    <mergeCell ref="L533:M533"/>
    <mergeCell ref="O533:P533"/>
    <mergeCell ref="R533:S533"/>
    <mergeCell ref="U533:V533"/>
    <mergeCell ref="X533:Y533"/>
    <mergeCell ref="AA533:AB533"/>
    <mergeCell ref="AD533:AE533"/>
    <mergeCell ref="AG533:AH533"/>
    <mergeCell ref="AJ533:AK533"/>
    <mergeCell ref="C532:D532"/>
    <mergeCell ref="F532:G532"/>
    <mergeCell ref="I532:J532"/>
    <mergeCell ref="L532:M532"/>
    <mergeCell ref="O532:P532"/>
    <mergeCell ref="R532:S532"/>
    <mergeCell ref="U532:V532"/>
    <mergeCell ref="X532:Y532"/>
    <mergeCell ref="AA532:AB532"/>
    <mergeCell ref="AG534:AH534"/>
    <mergeCell ref="AJ534:AK534"/>
    <mergeCell ref="C536:D536"/>
    <mergeCell ref="F536:G536"/>
    <mergeCell ref="I536:J536"/>
    <mergeCell ref="L536:M536"/>
    <mergeCell ref="O536:P536"/>
    <mergeCell ref="R536:S536"/>
    <mergeCell ref="U536:V536"/>
    <mergeCell ref="X536:Y536"/>
    <mergeCell ref="AA536:AB536"/>
    <mergeCell ref="AD536:AE536"/>
    <mergeCell ref="AG536:AH536"/>
    <mergeCell ref="AJ536:AK536"/>
    <mergeCell ref="C534:D534"/>
    <mergeCell ref="F534:G534"/>
    <mergeCell ref="I534:J534"/>
    <mergeCell ref="L534:M534"/>
    <mergeCell ref="O534:P534"/>
    <mergeCell ref="R534:S534"/>
    <mergeCell ref="U534:V534"/>
    <mergeCell ref="X534:Y534"/>
    <mergeCell ref="AA534:AB534"/>
    <mergeCell ref="AN475:AO475"/>
    <mergeCell ref="A16:AL16"/>
    <mergeCell ref="A150:AL150"/>
    <mergeCell ref="A215:AL215"/>
    <mergeCell ref="A345:AL345"/>
    <mergeCell ref="A410:AL410"/>
    <mergeCell ref="A475:AL475"/>
    <mergeCell ref="AD537:AE537"/>
    <mergeCell ref="AG537:AH537"/>
    <mergeCell ref="AJ537:AK537"/>
    <mergeCell ref="C538:D538"/>
    <mergeCell ref="F538:G538"/>
    <mergeCell ref="I538:J538"/>
    <mergeCell ref="L538:M538"/>
    <mergeCell ref="O538:P538"/>
    <mergeCell ref="R538:S538"/>
    <mergeCell ref="U538:V538"/>
    <mergeCell ref="X538:Y538"/>
    <mergeCell ref="AA538:AB538"/>
    <mergeCell ref="AD538:AE538"/>
    <mergeCell ref="AG538:AH538"/>
    <mergeCell ref="AJ538:AK538"/>
    <mergeCell ref="C537:D537"/>
    <mergeCell ref="F537:G537"/>
    <mergeCell ref="I537:J537"/>
    <mergeCell ref="L537:M537"/>
    <mergeCell ref="O537:P537"/>
    <mergeCell ref="R537:S537"/>
    <mergeCell ref="U537:V537"/>
    <mergeCell ref="X537:Y537"/>
    <mergeCell ref="AA537:AB537"/>
    <mergeCell ref="AD534:AE53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1"/>
  <sheetViews>
    <sheetView topLeftCell="A22" workbookViewId="0">
      <selection activeCell="B73" sqref="B73"/>
    </sheetView>
  </sheetViews>
  <sheetFormatPr defaultRowHeight="14.5" x14ac:dyDescent="0.35"/>
  <cols>
    <col min="2" max="2" width="32.1796875" bestFit="1" customWidth="1"/>
    <col min="3" max="4" width="13.6328125" customWidth="1"/>
    <col min="5" max="7" width="12.7265625" bestFit="1" customWidth="1"/>
    <col min="8" max="8" width="19.453125" bestFit="1" customWidth="1"/>
    <col min="9" max="9" width="13.81640625" bestFit="1" customWidth="1"/>
    <col min="10" max="10" width="14.54296875" bestFit="1" customWidth="1"/>
    <col min="11" max="11" width="12.7265625" bestFit="1" customWidth="1"/>
    <col min="12" max="12" width="13.6328125" bestFit="1" customWidth="1"/>
  </cols>
  <sheetData>
    <row r="1" spans="2:12" x14ac:dyDescent="0.35">
      <c r="B1" s="115" t="s">
        <v>752</v>
      </c>
      <c r="C1" s="115"/>
      <c r="D1" s="533">
        <f>SUM(G1,I1,K1,)</f>
        <v>1405000</v>
      </c>
      <c r="F1" s="115" t="s">
        <v>753</v>
      </c>
      <c r="G1" s="533">
        <v>200000</v>
      </c>
      <c r="H1" s="115" t="s">
        <v>754</v>
      </c>
      <c r="I1" s="446">
        <f>6500*150</f>
        <v>975000</v>
      </c>
      <c r="J1" s="115" t="s">
        <v>755</v>
      </c>
      <c r="K1" s="533">
        <f>KitchenEquipmentCosts!N5 + 11880</f>
        <v>230000</v>
      </c>
    </row>
    <row r="3" spans="2:12" x14ac:dyDescent="0.35">
      <c r="D3" s="536" t="s">
        <v>743</v>
      </c>
      <c r="E3" s="536"/>
      <c r="F3" s="536"/>
      <c r="G3" s="536"/>
      <c r="H3" s="536"/>
      <c r="I3" s="536"/>
      <c r="J3" s="536"/>
      <c r="K3" s="536"/>
    </row>
    <row r="4" spans="2:12" x14ac:dyDescent="0.35">
      <c r="D4" s="531" t="s">
        <v>511</v>
      </c>
      <c r="E4" s="531" t="s">
        <v>523</v>
      </c>
      <c r="F4" s="531" t="s">
        <v>524</v>
      </c>
      <c r="G4" s="531" t="s">
        <v>525</v>
      </c>
      <c r="H4" s="531" t="s">
        <v>526</v>
      </c>
      <c r="I4" s="531" t="s">
        <v>527</v>
      </c>
      <c r="J4" s="531" t="s">
        <v>528</v>
      </c>
      <c r="K4" s="531" t="s">
        <v>742</v>
      </c>
      <c r="L4" s="531" t="s">
        <v>129</v>
      </c>
    </row>
    <row r="5" spans="2:12" x14ac:dyDescent="0.35">
      <c r="B5" s="115" t="s">
        <v>739</v>
      </c>
      <c r="C5" s="115"/>
      <c r="D5" s="533">
        <f>'8YrCalendar'!AO17</f>
        <v>7104</v>
      </c>
      <c r="E5" s="533">
        <f>'8YrCalendar'!AO85</f>
        <v>14976</v>
      </c>
      <c r="F5" s="533">
        <f>'8YrCalendar'!AO151</f>
        <v>14976</v>
      </c>
      <c r="G5" s="533">
        <f>'8YrCalendar'!AO216</f>
        <v>18432</v>
      </c>
      <c r="H5" s="533">
        <f>'8YrCalendar'!AO281</f>
        <v>21204</v>
      </c>
      <c r="I5" s="533">
        <f>'8YrCalendar'!AO346</f>
        <v>23508</v>
      </c>
      <c r="J5" s="533">
        <f>'8YrCalendar'!AO411</f>
        <v>23976</v>
      </c>
      <c r="K5" s="533">
        <f>'8YrCalendar'!AO476</f>
        <v>24072</v>
      </c>
      <c r="L5" s="533">
        <f>SUM(D5:K5)</f>
        <v>148248</v>
      </c>
    </row>
    <row r="6" spans="2:12" x14ac:dyDescent="0.35">
      <c r="B6" s="115" t="s">
        <v>740</v>
      </c>
      <c r="C6" s="115"/>
      <c r="D6" s="533">
        <f>'8YrCalendar'!AO18</f>
        <v>4800</v>
      </c>
      <c r="E6" s="533">
        <f>'8YrCalendar'!AO86</f>
        <v>9600</v>
      </c>
      <c r="F6" s="533">
        <f>'8YrCalendar'!AO152</f>
        <v>15661.154</v>
      </c>
      <c r="G6" s="533">
        <f>'8YrCalendar'!AO217</f>
        <v>12122.308000000001</v>
      </c>
      <c r="H6" s="533">
        <f>'8YrCalendar'!AO282</f>
        <v>15256.616</v>
      </c>
      <c r="I6" s="533">
        <f>'8YrCalendar'!AO347</f>
        <v>22680.088359999998</v>
      </c>
      <c r="J6" s="533">
        <f>'8YrCalendar'!AO412</f>
        <v>45848.176719999996</v>
      </c>
      <c r="K6" s="533">
        <f>'8YrCalendar'!AO477</f>
        <v>49848.176719999996</v>
      </c>
      <c r="L6" s="533">
        <f>SUM(D6:K6)</f>
        <v>175816.51979999998</v>
      </c>
    </row>
    <row r="7" spans="2:12" x14ac:dyDescent="0.35">
      <c r="B7" s="115" t="s">
        <v>741</v>
      </c>
      <c r="C7" s="115"/>
      <c r="D7" s="533">
        <f>'8YrCalendar'!AO19</f>
        <v>7020</v>
      </c>
      <c r="E7" s="533">
        <f>'8YrCalendar'!AO87</f>
        <v>11160</v>
      </c>
      <c r="F7" s="533">
        <f>'8YrCalendar'!AO153</f>
        <v>11160</v>
      </c>
      <c r="G7" s="533">
        <f>'8YrCalendar'!AO218</f>
        <v>13080</v>
      </c>
      <c r="H7" s="533">
        <f>'8YrCalendar'!AO283</f>
        <v>14925</v>
      </c>
      <c r="I7" s="533">
        <f>'8YrCalendar'!AO348</f>
        <v>24885</v>
      </c>
      <c r="J7" s="533">
        <f>'8YrCalendar'!AO413</f>
        <v>50520</v>
      </c>
      <c r="K7" s="533">
        <f>'8YrCalendar'!AO478</f>
        <v>54175</v>
      </c>
      <c r="L7" s="533">
        <f>SUM(D7:K7)</f>
        <v>186925</v>
      </c>
    </row>
    <row r="8" spans="2:12" x14ac:dyDescent="0.35">
      <c r="B8" s="115" t="s">
        <v>749</v>
      </c>
      <c r="C8" s="115"/>
      <c r="D8" s="533">
        <f>SUM(D5:D7)</f>
        <v>18924</v>
      </c>
      <c r="E8" s="533">
        <f t="shared" ref="E8:L8" si="0">SUM(E5:E7)</f>
        <v>35736</v>
      </c>
      <c r="F8" s="533">
        <f t="shared" si="0"/>
        <v>41797.154000000002</v>
      </c>
      <c r="G8" s="533">
        <f t="shared" si="0"/>
        <v>43634.308000000005</v>
      </c>
      <c r="H8" s="533">
        <f t="shared" si="0"/>
        <v>51385.616000000002</v>
      </c>
      <c r="I8" s="533">
        <f t="shared" si="0"/>
        <v>71073.088359999994</v>
      </c>
      <c r="J8" s="533">
        <f t="shared" si="0"/>
        <v>120344.17671999999</v>
      </c>
      <c r="K8" s="533">
        <f t="shared" si="0"/>
        <v>128095.17671999999</v>
      </c>
      <c r="L8" s="533">
        <f t="shared" si="0"/>
        <v>510989.51980000001</v>
      </c>
    </row>
    <row r="29" spans="2:12" x14ac:dyDescent="0.35">
      <c r="C29" s="532" t="s">
        <v>756</v>
      </c>
      <c r="D29" s="531" t="s">
        <v>511</v>
      </c>
      <c r="E29" s="531" t="s">
        <v>523</v>
      </c>
      <c r="F29" s="531" t="s">
        <v>524</v>
      </c>
      <c r="G29" s="531" t="s">
        <v>525</v>
      </c>
      <c r="H29" s="531" t="s">
        <v>526</v>
      </c>
      <c r="I29" s="531" t="s">
        <v>527</v>
      </c>
      <c r="J29" s="531" t="s">
        <v>528</v>
      </c>
      <c r="K29" s="531" t="s">
        <v>742</v>
      </c>
      <c r="L29" s="531" t="s">
        <v>129</v>
      </c>
    </row>
    <row r="30" spans="2:12" x14ac:dyDescent="0.35">
      <c r="B30" s="114" t="s">
        <v>744</v>
      </c>
      <c r="C30" s="533">
        <v>0</v>
      </c>
      <c r="D30" s="533">
        <f>'8YrCalendar'!AO50</f>
        <v>98616.960000000006</v>
      </c>
      <c r="E30" s="533">
        <f>'8YrCalendar'!AO115</f>
        <v>98616.960000000006</v>
      </c>
      <c r="F30" s="533">
        <f>'8YrCalendar'!AO181</f>
        <v>98616.960000000006</v>
      </c>
      <c r="G30" s="533">
        <f>'8YrCalendar'!AO246</f>
        <v>98616.960000000006</v>
      </c>
      <c r="H30" s="533">
        <f>'8YrCalendar'!AO311</f>
        <v>98616.960000000006</v>
      </c>
      <c r="I30" s="533">
        <f>'8YrCalendar'!AO376</f>
        <v>98616.960000000006</v>
      </c>
      <c r="J30" s="533">
        <f>'8YrCalendar'!AO441</f>
        <v>98616.960000000006</v>
      </c>
      <c r="K30" s="533">
        <f>'8YrCalendar'!AO506</f>
        <v>98616.960000000006</v>
      </c>
      <c r="L30" s="533">
        <f>SUM(D30:K30)</f>
        <v>788935.67999999993</v>
      </c>
    </row>
    <row r="31" spans="2:12" x14ac:dyDescent="0.35">
      <c r="B31" s="114" t="s">
        <v>745</v>
      </c>
      <c r="C31" s="533">
        <v>0</v>
      </c>
      <c r="D31" s="533">
        <f>'8YrCalendar'!AO51</f>
        <v>27300</v>
      </c>
      <c r="E31" s="533">
        <f>'8YrCalendar'!AO116</f>
        <v>27300</v>
      </c>
      <c r="F31" s="533">
        <f>'8YrCalendar'!AO182</f>
        <v>28920</v>
      </c>
      <c r="G31" s="533">
        <f>'8YrCalendar'!AO247</f>
        <v>30540</v>
      </c>
      <c r="H31" s="533">
        <f>'8YrCalendar'!AO312</f>
        <v>33780</v>
      </c>
      <c r="I31" s="533">
        <f>'8YrCalendar'!AO377</f>
        <v>35400</v>
      </c>
      <c r="J31" s="533">
        <f>'8YrCalendar'!AO442</f>
        <v>35400</v>
      </c>
      <c r="K31" s="533">
        <f>'8YrCalendar'!AO507</f>
        <v>35400</v>
      </c>
      <c r="L31" s="533">
        <f>SUM(D31:K31)</f>
        <v>254040</v>
      </c>
    </row>
    <row r="32" spans="2:12" x14ac:dyDescent="0.35">
      <c r="B32" s="114" t="s">
        <v>746</v>
      </c>
      <c r="C32" s="533">
        <v>0</v>
      </c>
      <c r="D32" s="533">
        <f>'8YrCalendar'!AO52</f>
        <v>23050</v>
      </c>
      <c r="E32" s="533">
        <f>'8YrCalendar'!AO117</f>
        <v>14050</v>
      </c>
      <c r="F32" s="533">
        <f>'8YrCalendar'!AO183</f>
        <v>14050</v>
      </c>
      <c r="G32" s="533">
        <f>'8YrCalendar'!AO248</f>
        <v>14050</v>
      </c>
      <c r="H32" s="533">
        <f>'8YrCalendar'!AO313</f>
        <v>14050</v>
      </c>
      <c r="I32" s="533">
        <f>'8YrCalendar'!AO378</f>
        <v>14050</v>
      </c>
      <c r="J32" s="533">
        <f>'8YrCalendar'!AO443</f>
        <v>15050</v>
      </c>
      <c r="K32" s="533">
        <f>'8YrCalendar'!AO508</f>
        <v>15050</v>
      </c>
      <c r="L32" s="533">
        <f>SUM(D32:K32)</f>
        <v>123400</v>
      </c>
    </row>
    <row r="33" spans="2:12" x14ac:dyDescent="0.35">
      <c r="B33" s="114" t="s">
        <v>747</v>
      </c>
      <c r="C33" s="533">
        <v>0</v>
      </c>
      <c r="D33" s="533">
        <f>'8YrCalendar'!AO53</f>
        <v>8400</v>
      </c>
      <c r="E33" s="533">
        <f>'8YrCalendar'!AO118</f>
        <v>8400</v>
      </c>
      <c r="F33" s="533">
        <f>'8YrCalendar'!AO184</f>
        <v>8400</v>
      </c>
      <c r="G33" s="533">
        <f>'8YrCalendar'!AO249</f>
        <v>8400</v>
      </c>
      <c r="H33" s="533">
        <f>'8YrCalendar'!AO314</f>
        <v>8400</v>
      </c>
      <c r="I33" s="533">
        <f>'8YrCalendar'!AO379</f>
        <v>8400</v>
      </c>
      <c r="J33" s="533">
        <f>'8YrCalendar'!AO444</f>
        <v>8400</v>
      </c>
      <c r="K33" s="533">
        <f>'8YrCalendar'!AO509</f>
        <v>8400</v>
      </c>
      <c r="L33" s="533">
        <f>SUM(D33:K33)</f>
        <v>67200</v>
      </c>
    </row>
    <row r="34" spans="2:12" x14ac:dyDescent="0.35">
      <c r="B34" s="114" t="s">
        <v>749</v>
      </c>
      <c r="C34" s="533">
        <v>0</v>
      </c>
      <c r="D34" s="533">
        <f>SUM(D30:D33)</f>
        <v>157366.96000000002</v>
      </c>
      <c r="E34" s="533">
        <f t="shared" ref="E34:L34" si="1">SUM(E30:E33)</f>
        <v>148366.96000000002</v>
      </c>
      <c r="F34" s="533">
        <f t="shared" si="1"/>
        <v>149986.96000000002</v>
      </c>
      <c r="G34" s="533">
        <f t="shared" si="1"/>
        <v>151606.96000000002</v>
      </c>
      <c r="H34" s="533">
        <f t="shared" si="1"/>
        <v>154846.96000000002</v>
      </c>
      <c r="I34" s="533">
        <f t="shared" si="1"/>
        <v>156466.96000000002</v>
      </c>
      <c r="J34" s="533">
        <f t="shared" si="1"/>
        <v>157466.96000000002</v>
      </c>
      <c r="K34" s="533">
        <f t="shared" si="1"/>
        <v>157466.96000000002</v>
      </c>
      <c r="L34" s="533">
        <f t="shared" si="1"/>
        <v>1233575.68</v>
      </c>
    </row>
    <row r="35" spans="2:12" x14ac:dyDescent="0.35">
      <c r="C35" s="533"/>
      <c r="D35" s="533"/>
      <c r="E35" s="533"/>
      <c r="F35" s="533"/>
      <c r="G35" s="533"/>
      <c r="H35" s="533"/>
      <c r="I35" s="533"/>
      <c r="J35" s="533"/>
      <c r="K35" s="533"/>
      <c r="L35" s="533"/>
    </row>
    <row r="36" spans="2:12" x14ac:dyDescent="0.35">
      <c r="B36" s="114" t="s">
        <v>750</v>
      </c>
      <c r="C36" s="533">
        <f>-D1</f>
        <v>-1405000</v>
      </c>
      <c r="D36" s="533">
        <f>D8-D34</f>
        <v>-138442.96000000002</v>
      </c>
      <c r="E36" s="533">
        <f t="shared" ref="E36:L36" si="2">E8-E34</f>
        <v>-112630.96000000002</v>
      </c>
      <c r="F36" s="533">
        <f t="shared" si="2"/>
        <v>-108189.80600000001</v>
      </c>
      <c r="G36" s="533">
        <f t="shared" si="2"/>
        <v>-107972.65200000002</v>
      </c>
      <c r="H36" s="533">
        <f t="shared" si="2"/>
        <v>-103461.34400000001</v>
      </c>
      <c r="I36" s="533">
        <f t="shared" si="2"/>
        <v>-85393.871640000027</v>
      </c>
      <c r="J36" s="533">
        <f t="shared" si="2"/>
        <v>-37122.783280000032</v>
      </c>
      <c r="K36" s="533">
        <f t="shared" si="2"/>
        <v>-29371.783280000032</v>
      </c>
      <c r="L36" s="533">
        <f t="shared" si="2"/>
        <v>-722586.16019999993</v>
      </c>
    </row>
    <row r="37" spans="2:12" x14ac:dyDescent="0.35">
      <c r="B37" s="114" t="s">
        <v>751</v>
      </c>
      <c r="C37" s="533">
        <f>C36</f>
        <v>-1405000</v>
      </c>
      <c r="D37" s="533">
        <f>D36+C37</f>
        <v>-1543442.96</v>
      </c>
      <c r="E37" s="533">
        <f>E36+D37</f>
        <v>-1656073.92</v>
      </c>
      <c r="F37" s="533">
        <f t="shared" ref="F37:K37" si="3">F36+E37</f>
        <v>-1764263.726</v>
      </c>
      <c r="G37" s="533">
        <f t="shared" si="3"/>
        <v>-1872236.378</v>
      </c>
      <c r="H37" s="533">
        <f t="shared" si="3"/>
        <v>-1975697.7220000001</v>
      </c>
      <c r="I37" s="533">
        <f t="shared" si="3"/>
        <v>-2061091.5936400001</v>
      </c>
      <c r="J37" s="533">
        <f t="shared" si="3"/>
        <v>-2098214.3769200002</v>
      </c>
      <c r="K37" s="533">
        <f t="shared" si="3"/>
        <v>-2127586.1602000003</v>
      </c>
      <c r="L37" s="533"/>
    </row>
    <row r="43" spans="2:12" x14ac:dyDescent="0.35">
      <c r="H43" s="554" t="s">
        <v>760</v>
      </c>
      <c r="I43" s="554"/>
      <c r="J43" s="554"/>
    </row>
    <row r="44" spans="2:12" x14ac:dyDescent="0.35">
      <c r="I44" t="s">
        <v>758</v>
      </c>
      <c r="J44" t="s">
        <v>759</v>
      </c>
    </row>
    <row r="45" spans="2:12" x14ac:dyDescent="0.35">
      <c r="H45" t="s">
        <v>502</v>
      </c>
      <c r="I45" s="533">
        <v>7344</v>
      </c>
      <c r="J45" s="533">
        <f>RootVegMedley!P9</f>
        <v>2646.2675527721085</v>
      </c>
    </row>
    <row r="46" spans="2:12" x14ac:dyDescent="0.35">
      <c r="H46" t="s">
        <v>503</v>
      </c>
      <c r="I46" s="533">
        <v>18259.560719999998</v>
      </c>
      <c r="J46" s="533">
        <f>FrozenBroccoli!O10</f>
        <v>7733.2635714299022</v>
      </c>
    </row>
    <row r="47" spans="2:12" x14ac:dyDescent="0.35">
      <c r="H47" t="s">
        <v>507</v>
      </c>
      <c r="I47" s="533">
        <v>5044.616</v>
      </c>
      <c r="J47" s="533">
        <f>FrozenCornOnTheCob!O11</f>
        <v>1737.3440380542527</v>
      </c>
    </row>
    <row r="48" spans="2:12" x14ac:dyDescent="0.35">
      <c r="H48" t="s">
        <v>506</v>
      </c>
      <c r="I48" s="533">
        <v>1181.4399999999998</v>
      </c>
      <c r="J48" s="533">
        <f>PickledGarlic!O12</f>
        <v>6770.4000000000015</v>
      </c>
    </row>
    <row r="49" spans="8:10" x14ac:dyDescent="0.35">
      <c r="H49" t="s">
        <v>508</v>
      </c>
      <c r="I49" s="533">
        <v>2974.9759999999992</v>
      </c>
      <c r="J49" s="533">
        <f>SugarFreeJam!O13</f>
        <v>8428.7999999999975</v>
      </c>
    </row>
    <row r="50" spans="8:10" x14ac:dyDescent="0.35">
      <c r="H50" t="s">
        <v>520</v>
      </c>
      <c r="I50" s="533">
        <v>19200</v>
      </c>
      <c r="J50" s="533">
        <f>FrozenBroccoli!O14</f>
        <v>5799.9476785724264</v>
      </c>
    </row>
    <row r="51" spans="8:10" x14ac:dyDescent="0.35">
      <c r="I51" s="114" t="s">
        <v>270</v>
      </c>
      <c r="J51" s="533">
        <f>SUM(J45:J50)</f>
        <v>33116.022840828686</v>
      </c>
    </row>
  </sheetData>
  <mergeCells count="2">
    <mergeCell ref="D3:K3"/>
    <mergeCell ref="H43:J4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6:O27"/>
  <sheetViews>
    <sheetView topLeftCell="A13" workbookViewId="0">
      <selection activeCell="D21" sqref="D21"/>
    </sheetView>
  </sheetViews>
  <sheetFormatPr defaultRowHeight="14.5" x14ac:dyDescent="0.35"/>
  <cols>
    <col min="2" max="2" width="30.54296875" bestFit="1" customWidth="1"/>
    <col min="3" max="14" width="8.6328125" customWidth="1"/>
  </cols>
  <sheetData>
    <row r="6" spans="2:4" ht="79" thickBot="1" x14ac:dyDescent="0.55000000000000004">
      <c r="B6" s="427" t="s">
        <v>467</v>
      </c>
      <c r="C6" s="500" t="s">
        <v>468</v>
      </c>
      <c r="D6" s="500" t="s">
        <v>469</v>
      </c>
    </row>
    <row r="7" spans="2:4" ht="16.5" thickTop="1" x14ac:dyDescent="0.5">
      <c r="B7" s="429" t="s">
        <v>471</v>
      </c>
      <c r="C7" s="496">
        <v>117000</v>
      </c>
      <c r="D7" s="418">
        <v>6.2E-2</v>
      </c>
    </row>
    <row r="8" spans="2:4" ht="16" x14ac:dyDescent="0.5">
      <c r="B8" s="430" t="s">
        <v>472</v>
      </c>
      <c r="C8" s="497" t="s">
        <v>473</v>
      </c>
      <c r="D8" s="421">
        <v>1.4500000000000001E-2</v>
      </c>
    </row>
    <row r="9" spans="2:4" ht="16" x14ac:dyDescent="0.5">
      <c r="B9" s="430" t="s">
        <v>474</v>
      </c>
      <c r="C9" s="498">
        <v>7000</v>
      </c>
      <c r="D9" s="421">
        <v>6.0000000000000001E-3</v>
      </c>
    </row>
    <row r="10" spans="2:4" ht="16" x14ac:dyDescent="0.5">
      <c r="B10" s="430" t="s">
        <v>475</v>
      </c>
      <c r="C10" s="498">
        <v>7000</v>
      </c>
      <c r="D10" s="421">
        <v>3.4500000000000003E-2</v>
      </c>
    </row>
    <row r="11" spans="2:4" ht="16" x14ac:dyDescent="0.5">
      <c r="B11" s="430" t="s">
        <v>476</v>
      </c>
      <c r="C11" s="497" t="s">
        <v>473</v>
      </c>
      <c r="D11" s="421">
        <v>0</v>
      </c>
    </row>
    <row r="12" spans="2:4" ht="16" x14ac:dyDescent="0.5">
      <c r="B12" s="430" t="s">
        <v>477</v>
      </c>
      <c r="C12" s="497" t="s">
        <v>473</v>
      </c>
      <c r="D12" s="421">
        <v>0.05</v>
      </c>
    </row>
    <row r="13" spans="2:4" ht="16" x14ac:dyDescent="0.5">
      <c r="B13" s="430" t="s">
        <v>478</v>
      </c>
      <c r="C13" s="497" t="s">
        <v>473</v>
      </c>
      <c r="D13" s="421">
        <v>0.15</v>
      </c>
    </row>
    <row r="14" spans="2:4" ht="16" x14ac:dyDescent="0.5">
      <c r="B14" s="430" t="s">
        <v>479</v>
      </c>
      <c r="C14" s="497" t="s">
        <v>473</v>
      </c>
      <c r="D14" s="421">
        <v>0</v>
      </c>
    </row>
    <row r="15" spans="2:4" ht="16" x14ac:dyDescent="0.5">
      <c r="B15" s="428" t="s">
        <v>480</v>
      </c>
      <c r="C15" s="428"/>
      <c r="D15" s="499">
        <f>SUM(D7:D14)</f>
        <v>0.317</v>
      </c>
    </row>
    <row r="16" spans="2:4" ht="16" x14ac:dyDescent="0.5">
      <c r="B16" s="555" t="s">
        <v>481</v>
      </c>
      <c r="C16" s="556"/>
      <c r="D16" s="557"/>
    </row>
    <row r="18" spans="2:15" ht="167" thickBot="1" x14ac:dyDescent="0.4">
      <c r="B18" s="495" t="s">
        <v>456</v>
      </c>
      <c r="C18" s="479" t="s">
        <v>457</v>
      </c>
      <c r="D18" s="479" t="s">
        <v>458</v>
      </c>
      <c r="E18" s="479" t="s">
        <v>459</v>
      </c>
      <c r="F18" s="479" t="s">
        <v>460</v>
      </c>
      <c r="G18" s="479" t="s">
        <v>471</v>
      </c>
      <c r="H18" s="479" t="s">
        <v>472</v>
      </c>
      <c r="I18" s="478" t="s">
        <v>474</v>
      </c>
      <c r="J18" s="478" t="s">
        <v>475</v>
      </c>
      <c r="K18" s="478" t="s">
        <v>476</v>
      </c>
      <c r="L18" s="478" t="s">
        <v>477</v>
      </c>
      <c r="M18" s="478" t="s">
        <v>478</v>
      </c>
      <c r="N18" s="478" t="s">
        <v>479</v>
      </c>
      <c r="O18" s="478" t="s">
        <v>633</v>
      </c>
    </row>
    <row r="19" spans="2:15" ht="15" thickTop="1" x14ac:dyDescent="0.35">
      <c r="B19" s="480" t="s">
        <v>638</v>
      </c>
      <c r="C19" s="481">
        <v>1</v>
      </c>
      <c r="D19" s="482">
        <f>50000/2000</f>
        <v>25</v>
      </c>
      <c r="E19" s="483">
        <v>40</v>
      </c>
      <c r="F19" s="484">
        <f t="shared" ref="F19:F26" si="0">(D19*E19*C19)*52/12</f>
        <v>4333.333333333333</v>
      </c>
      <c r="G19" s="484">
        <f>$F19*$D$7</f>
        <v>268.66666666666663</v>
      </c>
      <c r="H19" s="484">
        <f>$F19*$D$8</f>
        <v>62.833333333333329</v>
      </c>
      <c r="I19" s="484">
        <f>$F19*$D$9</f>
        <v>26</v>
      </c>
      <c r="J19" s="484">
        <f>$F19*$D$10</f>
        <v>149.5</v>
      </c>
      <c r="K19" s="484">
        <f>$F19*$D$11</f>
        <v>0</v>
      </c>
      <c r="L19" s="484">
        <f>$F19*$D$12</f>
        <v>216.66666666666666</v>
      </c>
      <c r="M19" s="484">
        <f>$F19*$D$13</f>
        <v>649.99999999999989</v>
      </c>
      <c r="N19" s="484">
        <f>$F19*$D$14</f>
        <v>0</v>
      </c>
      <c r="O19" s="484">
        <f>SUM(F19:N19)</f>
        <v>5707</v>
      </c>
    </row>
    <row r="20" spans="2:15" x14ac:dyDescent="0.35">
      <c r="B20" s="485" t="s">
        <v>636</v>
      </c>
      <c r="C20" s="486">
        <v>1</v>
      </c>
      <c r="D20" s="487">
        <v>22</v>
      </c>
      <c r="E20" s="488">
        <v>40</v>
      </c>
      <c r="F20" s="489">
        <f t="shared" si="0"/>
        <v>3813.3333333333335</v>
      </c>
      <c r="G20" s="489">
        <f t="shared" ref="G20:G26" si="1">$F20*$D$7</f>
        <v>236.42666666666668</v>
      </c>
      <c r="H20" s="489">
        <f t="shared" ref="H20:H26" si="2">$F20*$D$8</f>
        <v>55.293333333333337</v>
      </c>
      <c r="I20" s="489">
        <f t="shared" ref="I20:I26" si="3">$F20*$D$9</f>
        <v>22.880000000000003</v>
      </c>
      <c r="J20" s="489">
        <f t="shared" ref="J20:J26" si="4">$F20*$D$10</f>
        <v>131.56</v>
      </c>
      <c r="K20" s="489">
        <f t="shared" ref="K20:K26" si="5">$F20*$D$11</f>
        <v>0</v>
      </c>
      <c r="L20" s="489">
        <f t="shared" ref="L20:L26" si="6">$F20*$D$12</f>
        <v>190.66666666666669</v>
      </c>
      <c r="M20" s="489">
        <f t="shared" ref="M20:M26" si="7">$F20*$D$13</f>
        <v>572</v>
      </c>
      <c r="N20" s="489">
        <f t="shared" ref="N20:N26" si="8">$F20*$D$14</f>
        <v>0</v>
      </c>
      <c r="O20" s="489">
        <f t="shared" ref="O20:O24" si="9">SUM(F20:N20)</f>
        <v>5022.1600000000008</v>
      </c>
    </row>
    <row r="21" spans="2:15" x14ac:dyDescent="0.35">
      <c r="B21" s="485" t="s">
        <v>634</v>
      </c>
      <c r="C21" s="486">
        <v>1</v>
      </c>
      <c r="D21" s="490">
        <f>36000/2000</f>
        <v>18</v>
      </c>
      <c r="E21" s="488">
        <v>40</v>
      </c>
      <c r="F21" s="489">
        <f t="shared" si="0"/>
        <v>3120</v>
      </c>
      <c r="G21" s="489">
        <f t="shared" si="1"/>
        <v>193.44</v>
      </c>
      <c r="H21" s="489">
        <f t="shared" si="2"/>
        <v>45.24</v>
      </c>
      <c r="I21" s="489">
        <f t="shared" si="3"/>
        <v>18.72</v>
      </c>
      <c r="J21" s="489">
        <f t="shared" si="4"/>
        <v>107.64000000000001</v>
      </c>
      <c r="K21" s="489">
        <f t="shared" si="5"/>
        <v>0</v>
      </c>
      <c r="L21" s="489">
        <f t="shared" si="6"/>
        <v>156</v>
      </c>
      <c r="M21" s="489">
        <f t="shared" si="7"/>
        <v>468</v>
      </c>
      <c r="N21" s="489">
        <f t="shared" si="8"/>
        <v>0</v>
      </c>
      <c r="O21" s="489">
        <f t="shared" si="9"/>
        <v>4109.0399999999991</v>
      </c>
    </row>
    <row r="22" spans="2:15" x14ac:dyDescent="0.35">
      <c r="B22" s="485" t="s">
        <v>635</v>
      </c>
      <c r="C22" s="486">
        <v>1</v>
      </c>
      <c r="D22" s="490">
        <v>25</v>
      </c>
      <c r="E22" s="488">
        <v>40</v>
      </c>
      <c r="F22" s="489">
        <f t="shared" si="0"/>
        <v>4333.333333333333</v>
      </c>
      <c r="G22" s="489">
        <f t="shared" si="1"/>
        <v>268.66666666666663</v>
      </c>
      <c r="H22" s="489">
        <f t="shared" si="2"/>
        <v>62.833333333333329</v>
      </c>
      <c r="I22" s="489">
        <f t="shared" si="3"/>
        <v>26</v>
      </c>
      <c r="J22" s="489">
        <f t="shared" si="4"/>
        <v>149.5</v>
      </c>
      <c r="K22" s="489">
        <f t="shared" si="5"/>
        <v>0</v>
      </c>
      <c r="L22" s="489">
        <f t="shared" si="6"/>
        <v>216.66666666666666</v>
      </c>
      <c r="M22" s="489">
        <f t="shared" si="7"/>
        <v>649.99999999999989</v>
      </c>
      <c r="N22" s="489">
        <f t="shared" si="8"/>
        <v>0</v>
      </c>
      <c r="O22" s="489">
        <f t="shared" si="9"/>
        <v>5707</v>
      </c>
    </row>
    <row r="23" spans="2:15" x14ac:dyDescent="0.35">
      <c r="B23" s="485" t="s">
        <v>637</v>
      </c>
      <c r="C23" s="486">
        <v>1</v>
      </c>
      <c r="D23" s="490">
        <v>11</v>
      </c>
      <c r="E23" s="488">
        <v>40</v>
      </c>
      <c r="F23" s="489">
        <f t="shared" si="0"/>
        <v>1906.6666666666667</v>
      </c>
      <c r="G23" s="489">
        <f t="shared" si="1"/>
        <v>118.21333333333334</v>
      </c>
      <c r="H23" s="489">
        <f t="shared" si="2"/>
        <v>27.646666666666668</v>
      </c>
      <c r="I23" s="489">
        <f t="shared" si="3"/>
        <v>11.440000000000001</v>
      </c>
      <c r="J23" s="489">
        <f t="shared" si="4"/>
        <v>65.78</v>
      </c>
      <c r="K23" s="489">
        <f t="shared" si="5"/>
        <v>0</v>
      </c>
      <c r="L23" s="489">
        <f t="shared" si="6"/>
        <v>95.333333333333343</v>
      </c>
      <c r="M23" s="489">
        <f t="shared" si="7"/>
        <v>286</v>
      </c>
      <c r="N23" s="489">
        <f t="shared" si="8"/>
        <v>0</v>
      </c>
      <c r="O23" s="489">
        <f t="shared" si="9"/>
        <v>2511.0800000000004</v>
      </c>
    </row>
    <row r="24" spans="2:15" x14ac:dyDescent="0.35">
      <c r="B24" s="485" t="s">
        <v>631</v>
      </c>
      <c r="C24" s="486"/>
      <c r="D24" s="490"/>
      <c r="E24" s="488"/>
      <c r="F24" s="489">
        <f t="shared" si="0"/>
        <v>0</v>
      </c>
      <c r="G24" s="489">
        <f t="shared" si="1"/>
        <v>0</v>
      </c>
      <c r="H24" s="489">
        <f t="shared" si="2"/>
        <v>0</v>
      </c>
      <c r="I24" s="489">
        <f t="shared" si="3"/>
        <v>0</v>
      </c>
      <c r="J24" s="489">
        <f t="shared" si="4"/>
        <v>0</v>
      </c>
      <c r="K24" s="489">
        <f t="shared" si="5"/>
        <v>0</v>
      </c>
      <c r="L24" s="489">
        <f t="shared" si="6"/>
        <v>0</v>
      </c>
      <c r="M24" s="489">
        <f t="shared" si="7"/>
        <v>0</v>
      </c>
      <c r="N24" s="489">
        <f t="shared" si="8"/>
        <v>0</v>
      </c>
      <c r="O24" s="489">
        <f t="shared" si="9"/>
        <v>0</v>
      </c>
    </row>
    <row r="25" spans="2:15" x14ac:dyDescent="0.35">
      <c r="B25" s="485" t="s">
        <v>631</v>
      </c>
      <c r="C25" s="486"/>
      <c r="D25" s="490"/>
      <c r="E25" s="488"/>
      <c r="F25" s="489">
        <f t="shared" si="0"/>
        <v>0</v>
      </c>
      <c r="G25" s="489">
        <f t="shared" si="1"/>
        <v>0</v>
      </c>
      <c r="H25" s="489">
        <f t="shared" si="2"/>
        <v>0</v>
      </c>
      <c r="I25" s="489">
        <f t="shared" si="3"/>
        <v>0</v>
      </c>
      <c r="J25" s="489">
        <f t="shared" si="4"/>
        <v>0</v>
      </c>
      <c r="K25" s="489">
        <f t="shared" si="5"/>
        <v>0</v>
      </c>
      <c r="L25" s="489">
        <f t="shared" si="6"/>
        <v>0</v>
      </c>
      <c r="M25" s="489">
        <f t="shared" si="7"/>
        <v>0</v>
      </c>
      <c r="N25" s="489">
        <f t="shared" si="8"/>
        <v>0</v>
      </c>
      <c r="O25" s="489">
        <f t="shared" ref="O25:O26" si="10">SUM(F25:N25)</f>
        <v>0</v>
      </c>
    </row>
    <row r="26" spans="2:15" x14ac:dyDescent="0.35">
      <c r="B26" s="485" t="s">
        <v>631</v>
      </c>
      <c r="C26" s="486"/>
      <c r="D26" s="490"/>
      <c r="E26" s="488"/>
      <c r="F26" s="489">
        <f t="shared" si="0"/>
        <v>0</v>
      </c>
      <c r="G26" s="489">
        <f t="shared" si="1"/>
        <v>0</v>
      </c>
      <c r="H26" s="489">
        <f t="shared" si="2"/>
        <v>0</v>
      </c>
      <c r="I26" s="489">
        <f t="shared" si="3"/>
        <v>0</v>
      </c>
      <c r="J26" s="489">
        <f t="shared" si="4"/>
        <v>0</v>
      </c>
      <c r="K26" s="489">
        <f t="shared" si="5"/>
        <v>0</v>
      </c>
      <c r="L26" s="489">
        <f t="shared" si="6"/>
        <v>0</v>
      </c>
      <c r="M26" s="489">
        <f t="shared" si="7"/>
        <v>0</v>
      </c>
      <c r="N26" s="489">
        <f t="shared" si="8"/>
        <v>0</v>
      </c>
      <c r="O26" s="489">
        <f t="shared" si="10"/>
        <v>0</v>
      </c>
    </row>
    <row r="27" spans="2:15" x14ac:dyDescent="0.35">
      <c r="B27" s="491" t="s">
        <v>632</v>
      </c>
      <c r="C27" s="492">
        <f>SUM(C19:C26)</f>
        <v>5</v>
      </c>
      <c r="D27" s="493">
        <f t="shared" ref="D27:O27" si="11">SUM(D19:D26)</f>
        <v>101</v>
      </c>
      <c r="E27" s="494">
        <f t="shared" si="11"/>
        <v>200</v>
      </c>
      <c r="F27" s="489">
        <f t="shared" si="11"/>
        <v>17506.666666666668</v>
      </c>
      <c r="G27" s="489">
        <f t="shared" si="11"/>
        <v>1085.4133333333332</v>
      </c>
      <c r="H27" s="489">
        <f t="shared" si="11"/>
        <v>253.84666666666666</v>
      </c>
      <c r="I27" s="489">
        <f t="shared" si="11"/>
        <v>105.03999999999999</v>
      </c>
      <c r="J27" s="489">
        <f t="shared" si="11"/>
        <v>603.98</v>
      </c>
      <c r="K27" s="489">
        <f t="shared" si="11"/>
        <v>0</v>
      </c>
      <c r="L27" s="489">
        <f t="shared" si="11"/>
        <v>875.33333333333337</v>
      </c>
      <c r="M27" s="489">
        <f t="shared" si="11"/>
        <v>2626</v>
      </c>
      <c r="N27" s="489">
        <f t="shared" si="11"/>
        <v>0</v>
      </c>
      <c r="O27" s="489">
        <f t="shared" si="11"/>
        <v>23056.28</v>
      </c>
    </row>
  </sheetData>
  <mergeCells count="1">
    <mergeCell ref="B16:D16"/>
  </mergeCells>
  <conditionalFormatting sqref="C19:E24">
    <cfRule type="containsBlanks" dxfId="9" priority="8" stopIfTrue="1">
      <formula>LEN(TRIM(C19))=0</formula>
    </cfRule>
  </conditionalFormatting>
  <conditionalFormatting sqref="C25:E25">
    <cfRule type="containsBlanks" dxfId="8" priority="2" stopIfTrue="1">
      <formula>LEN(TRIM(C25))=0</formula>
    </cfRule>
  </conditionalFormatting>
  <conditionalFormatting sqref="C26:E26">
    <cfRule type="containsBlanks" dxfId="7" priority="1" stopIfTrue="1">
      <formula>LEN(TRIM(C26))=0</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Y56"/>
  <sheetViews>
    <sheetView zoomScale="85" zoomScaleNormal="85" workbookViewId="0">
      <selection activeCell="L25" sqref="L25"/>
    </sheetView>
  </sheetViews>
  <sheetFormatPr defaultRowHeight="14.5" x14ac:dyDescent="0.35"/>
  <cols>
    <col min="2" max="2" width="20" customWidth="1"/>
    <col min="3" max="3" width="10.54296875" style="44" bestFit="1" customWidth="1"/>
    <col min="4" max="4" width="10.6328125" customWidth="1"/>
    <col min="5" max="5" width="8.7265625" style="45"/>
    <col min="6" max="6" width="6" bestFit="1" customWidth="1"/>
    <col min="7" max="7" width="10.54296875" bestFit="1" customWidth="1"/>
    <col min="8" max="8" width="2.81640625" customWidth="1"/>
    <col min="9" max="9" width="11.6328125" bestFit="1" customWidth="1"/>
    <col min="10" max="10" width="4.26953125" customWidth="1"/>
    <col min="12" max="12" width="19.36328125" bestFit="1" customWidth="1"/>
    <col min="14" max="14" width="10.81640625" style="45" bestFit="1" customWidth="1"/>
    <col min="23" max="23" width="10.54296875" bestFit="1" customWidth="1"/>
  </cols>
  <sheetData>
    <row r="2" spans="2:25" x14ac:dyDescent="0.35">
      <c r="B2" s="536" t="s">
        <v>255</v>
      </c>
      <c r="C2" s="536"/>
      <c r="D2" s="536"/>
      <c r="E2" s="536"/>
      <c r="F2" s="536"/>
      <c r="G2" s="536"/>
      <c r="H2" s="536"/>
      <c r="I2" s="536"/>
      <c r="V2" s="110" t="s">
        <v>271</v>
      </c>
      <c r="W2" s="110"/>
    </row>
    <row r="3" spans="2:25" x14ac:dyDescent="0.35">
      <c r="B3" s="111"/>
      <c r="C3" s="536" t="s">
        <v>267</v>
      </c>
      <c r="D3" s="536"/>
      <c r="E3" s="536"/>
      <c r="F3" s="536"/>
      <c r="G3" s="536"/>
      <c r="H3" s="536"/>
      <c r="I3" s="536"/>
      <c r="K3" s="536" t="s">
        <v>266</v>
      </c>
      <c r="L3" s="536"/>
      <c r="M3" s="536"/>
      <c r="N3" s="536"/>
      <c r="O3" s="536"/>
      <c r="P3" s="536"/>
      <c r="Q3" s="536"/>
      <c r="V3" s="115" t="s">
        <v>268</v>
      </c>
      <c r="W3" s="44">
        <v>36000</v>
      </c>
    </row>
    <row r="4" spans="2:25" x14ac:dyDescent="0.35">
      <c r="G4" s="111" t="s">
        <v>129</v>
      </c>
      <c r="I4" s="111" t="s">
        <v>129</v>
      </c>
      <c r="K4" s="44"/>
      <c r="M4" s="45"/>
      <c r="Q4" s="111" t="s">
        <v>129</v>
      </c>
      <c r="V4" s="114" t="s">
        <v>269</v>
      </c>
      <c r="W4" s="44">
        <f>W3*0.36</f>
        <v>12960</v>
      </c>
    </row>
    <row r="5" spans="2:25" x14ac:dyDescent="0.35">
      <c r="G5" s="112">
        <f>SUM(G9:G19)</f>
        <v>10613.333333333334</v>
      </c>
      <c r="I5" s="112">
        <f>SUM(I9:I19)</f>
        <v>127360</v>
      </c>
      <c r="K5" s="44"/>
      <c r="M5" s="45"/>
      <c r="Q5" s="112">
        <f>SUM(Q9:Q19)</f>
        <v>0</v>
      </c>
      <c r="V5" s="114" t="s">
        <v>270</v>
      </c>
      <c r="W5" s="44">
        <f>SUM(W3:W4)</f>
        <v>48960</v>
      </c>
    </row>
    <row r="7" spans="2:25" x14ac:dyDescent="0.35">
      <c r="C7" s="536" t="s">
        <v>251</v>
      </c>
      <c r="D7" s="536"/>
      <c r="E7" s="536"/>
      <c r="F7" s="536"/>
      <c r="G7" s="536"/>
      <c r="H7" s="110"/>
      <c r="I7" s="110" t="s">
        <v>252</v>
      </c>
      <c r="K7" s="536" t="s">
        <v>251</v>
      </c>
      <c r="L7" s="536"/>
      <c r="M7" s="536"/>
      <c r="N7" s="536"/>
      <c r="O7" s="536"/>
      <c r="P7" s="110"/>
      <c r="Q7" s="110" t="s">
        <v>252</v>
      </c>
      <c r="V7" s="115" t="s">
        <v>273</v>
      </c>
      <c r="W7" s="44">
        <f>11*2000</f>
        <v>22000</v>
      </c>
    </row>
    <row r="8" spans="2:25" x14ac:dyDescent="0.35">
      <c r="C8" s="113" t="s">
        <v>253</v>
      </c>
      <c r="D8" s="111" t="s">
        <v>15</v>
      </c>
      <c r="E8" s="111" t="s">
        <v>59</v>
      </c>
      <c r="F8" s="111" t="s">
        <v>15</v>
      </c>
      <c r="G8" s="111" t="s">
        <v>129</v>
      </c>
      <c r="H8" s="111"/>
      <c r="I8" s="111" t="s">
        <v>129</v>
      </c>
      <c r="V8" s="114" t="s">
        <v>269</v>
      </c>
      <c r="W8" s="44">
        <f>W7*0.36</f>
        <v>7920</v>
      </c>
    </row>
    <row r="9" spans="2:25" x14ac:dyDescent="0.35">
      <c r="B9" t="s">
        <v>34</v>
      </c>
      <c r="C9" s="44">
        <v>15</v>
      </c>
      <c r="D9" t="s">
        <v>258</v>
      </c>
      <c r="E9" s="45">
        <f>3*8*4</f>
        <v>96</v>
      </c>
      <c r="F9" s="45" t="s">
        <v>259</v>
      </c>
      <c r="G9" s="44">
        <f>C9*E9</f>
        <v>1440</v>
      </c>
      <c r="I9" s="44">
        <f t="shared" ref="I9:I14" si="0">G9*12</f>
        <v>17280</v>
      </c>
      <c r="V9" s="114" t="s">
        <v>270</v>
      </c>
      <c r="W9" s="44">
        <f>SUM(W7:W8)</f>
        <v>29920</v>
      </c>
      <c r="X9" s="44">
        <f>W9/2000</f>
        <v>14.96</v>
      </c>
      <c r="Y9" t="s">
        <v>287</v>
      </c>
    </row>
    <row r="10" spans="2:25" x14ac:dyDescent="0.35">
      <c r="B10" t="s">
        <v>246</v>
      </c>
      <c r="C10" s="44">
        <v>300</v>
      </c>
      <c r="D10" t="s">
        <v>260</v>
      </c>
      <c r="E10" s="45">
        <v>1</v>
      </c>
      <c r="F10" s="45" t="s">
        <v>261</v>
      </c>
      <c r="G10" s="44">
        <f>C10*E10</f>
        <v>300</v>
      </c>
      <c r="I10" s="44">
        <f t="shared" si="0"/>
        <v>3600</v>
      </c>
    </row>
    <row r="11" spans="2:25" x14ac:dyDescent="0.35">
      <c r="B11" t="s">
        <v>272</v>
      </c>
      <c r="C11" s="44">
        <v>30</v>
      </c>
      <c r="D11" t="s">
        <v>262</v>
      </c>
      <c r="E11" s="45">
        <v>6</v>
      </c>
      <c r="F11" s="45" t="s">
        <v>261</v>
      </c>
      <c r="G11" s="44">
        <f t="shared" ref="G11:G18" si="1">E11*C11</f>
        <v>180</v>
      </c>
      <c r="I11" s="44">
        <f t="shared" si="0"/>
        <v>2160</v>
      </c>
    </row>
    <row r="12" spans="2:25" x14ac:dyDescent="0.35">
      <c r="B12" t="s">
        <v>247</v>
      </c>
      <c r="C12" s="44">
        <v>40</v>
      </c>
      <c r="D12" t="s">
        <v>262</v>
      </c>
      <c r="E12" s="45">
        <v>6</v>
      </c>
      <c r="F12" s="45" t="s">
        <v>261</v>
      </c>
      <c r="G12" s="44">
        <f t="shared" si="1"/>
        <v>240</v>
      </c>
      <c r="I12" s="44">
        <f t="shared" si="0"/>
        <v>2880</v>
      </c>
    </row>
    <row r="13" spans="2:25" x14ac:dyDescent="0.35">
      <c r="B13" t="s">
        <v>248</v>
      </c>
      <c r="C13" s="44">
        <v>45</v>
      </c>
      <c r="D13" t="s">
        <v>262</v>
      </c>
      <c r="E13" s="45">
        <v>6</v>
      </c>
      <c r="F13" s="45" t="s">
        <v>261</v>
      </c>
      <c r="G13" s="44">
        <f t="shared" si="1"/>
        <v>270</v>
      </c>
      <c r="I13" s="44">
        <f t="shared" si="0"/>
        <v>3240</v>
      </c>
      <c r="U13">
        <v>600</v>
      </c>
      <c r="V13" t="s">
        <v>21</v>
      </c>
    </row>
    <row r="14" spans="2:25" x14ac:dyDescent="0.35">
      <c r="B14" t="s">
        <v>249</v>
      </c>
      <c r="C14" s="44">
        <f>26*400/8</f>
        <v>1300</v>
      </c>
      <c r="D14" t="s">
        <v>250</v>
      </c>
      <c r="E14" s="45">
        <v>4</v>
      </c>
      <c r="F14" s="45" t="s">
        <v>261</v>
      </c>
      <c r="G14" s="44">
        <f t="shared" si="1"/>
        <v>5200</v>
      </c>
      <c r="I14" s="44">
        <f t="shared" si="0"/>
        <v>62400</v>
      </c>
      <c r="U14">
        <v>6</v>
      </c>
      <c r="V14" t="s">
        <v>33</v>
      </c>
    </row>
    <row r="15" spans="2:25" x14ac:dyDescent="0.35">
      <c r="B15" t="s">
        <v>286</v>
      </c>
      <c r="C15" s="44">
        <f xml:space="preserve"> (1000*1.5)*0.25</f>
        <v>375</v>
      </c>
      <c r="D15" t="s">
        <v>263</v>
      </c>
      <c r="E15" s="45">
        <v>2</v>
      </c>
      <c r="F15" s="45" t="s">
        <v>264</v>
      </c>
      <c r="G15" s="44">
        <f t="shared" si="1"/>
        <v>750</v>
      </c>
      <c r="I15" s="44">
        <f t="shared" ref="I15:I16" si="2">G15*12</f>
        <v>9000</v>
      </c>
      <c r="U15">
        <v>4</v>
      </c>
      <c r="V15" t="s">
        <v>274</v>
      </c>
      <c r="W15">
        <f>U14*U15</f>
        <v>24</v>
      </c>
      <c r="X15" t="s">
        <v>275</v>
      </c>
    </row>
    <row r="16" spans="2:25" x14ac:dyDescent="0.35">
      <c r="B16" t="s">
        <v>256</v>
      </c>
      <c r="C16" s="44">
        <v>100</v>
      </c>
      <c r="D16" t="s">
        <v>277</v>
      </c>
      <c r="E16" s="45">
        <v>4</v>
      </c>
      <c r="F16" s="45" t="s">
        <v>259</v>
      </c>
      <c r="G16" s="44">
        <f t="shared" si="1"/>
        <v>400</v>
      </c>
      <c r="I16" s="44">
        <f t="shared" si="2"/>
        <v>4800</v>
      </c>
      <c r="W16" s="44">
        <f>W15*X9</f>
        <v>359.04</v>
      </c>
    </row>
    <row r="17" spans="2:24" x14ac:dyDescent="0.35">
      <c r="B17" t="s">
        <v>282</v>
      </c>
      <c r="C17" s="44">
        <v>1000</v>
      </c>
      <c r="D17" t="s">
        <v>283</v>
      </c>
      <c r="E17" s="45">
        <v>1</v>
      </c>
      <c r="F17" s="45" t="s">
        <v>261</v>
      </c>
      <c r="G17" s="44">
        <f t="shared" si="1"/>
        <v>1000</v>
      </c>
      <c r="I17" s="44">
        <f>G17*12</f>
        <v>12000</v>
      </c>
    </row>
    <row r="18" spans="2:24" x14ac:dyDescent="0.35">
      <c r="B18" t="s">
        <v>257</v>
      </c>
      <c r="C18" s="44">
        <v>10000</v>
      </c>
      <c r="D18" t="s">
        <v>265</v>
      </c>
      <c r="E18" s="45">
        <f>1/12</f>
        <v>8.3333333333333329E-2</v>
      </c>
      <c r="F18" s="45" t="s">
        <v>261</v>
      </c>
      <c r="G18" s="44">
        <f t="shared" si="1"/>
        <v>833.33333333333326</v>
      </c>
      <c r="I18" s="44">
        <f>G18*12</f>
        <v>10000</v>
      </c>
    </row>
    <row r="19" spans="2:24" x14ac:dyDescent="0.35">
      <c r="F19" s="45"/>
      <c r="I19" s="44"/>
    </row>
    <row r="20" spans="2:24" x14ac:dyDescent="0.35">
      <c r="V20" s="114" t="s">
        <v>278</v>
      </c>
      <c r="W20">
        <v>20</v>
      </c>
      <c r="X20" t="s">
        <v>279</v>
      </c>
    </row>
    <row r="21" spans="2:24" x14ac:dyDescent="0.35">
      <c r="B21" s="536" t="s">
        <v>254</v>
      </c>
      <c r="C21" s="536"/>
      <c r="D21" s="536"/>
      <c r="E21" s="536"/>
      <c r="F21" s="536"/>
      <c r="G21" s="536"/>
      <c r="H21" s="536"/>
      <c r="I21" s="536"/>
      <c r="W21" s="44">
        <f>W20*C13</f>
        <v>900</v>
      </c>
      <c r="X21" t="s">
        <v>280</v>
      </c>
    </row>
    <row r="22" spans="2:24" x14ac:dyDescent="0.35">
      <c r="B22" s="111"/>
      <c r="C22" s="536" t="s">
        <v>267</v>
      </c>
      <c r="D22" s="536"/>
      <c r="E22" s="536"/>
      <c r="F22" s="536"/>
      <c r="G22" s="536"/>
      <c r="H22" s="536"/>
      <c r="I22" s="536"/>
    </row>
    <row r="23" spans="2:24" x14ac:dyDescent="0.35">
      <c r="G23" s="111" t="s">
        <v>129</v>
      </c>
      <c r="I23" s="111" t="s">
        <v>129</v>
      </c>
    </row>
    <row r="24" spans="2:24" x14ac:dyDescent="0.35">
      <c r="G24" s="112">
        <f>SUM(G28:G37)</f>
        <v>23201.666666666668</v>
      </c>
      <c r="I24" s="112">
        <f>SUM(I28:I37)</f>
        <v>278420</v>
      </c>
    </row>
    <row r="26" spans="2:24" x14ac:dyDescent="0.35">
      <c r="C26" s="536" t="s">
        <v>251</v>
      </c>
      <c r="D26" s="536"/>
      <c r="E26" s="536"/>
      <c r="F26" s="536"/>
      <c r="G26" s="536"/>
      <c r="H26" s="110"/>
      <c r="I26" s="110" t="s">
        <v>252</v>
      </c>
    </row>
    <row r="27" spans="2:24" x14ac:dyDescent="0.35">
      <c r="C27" s="113" t="s">
        <v>253</v>
      </c>
      <c r="D27" s="111" t="s">
        <v>15</v>
      </c>
      <c r="E27" s="111" t="s">
        <v>59</v>
      </c>
      <c r="F27" s="111" t="s">
        <v>15</v>
      </c>
      <c r="G27" s="111" t="s">
        <v>129</v>
      </c>
      <c r="H27" s="111"/>
      <c r="I27" s="111" t="s">
        <v>129</v>
      </c>
    </row>
    <row r="28" spans="2:24" x14ac:dyDescent="0.35">
      <c r="B28" t="s">
        <v>34</v>
      </c>
      <c r="C28" s="44">
        <v>25</v>
      </c>
      <c r="D28" t="s">
        <v>258</v>
      </c>
      <c r="E28" s="45">
        <f>4*8*4</f>
        <v>128</v>
      </c>
      <c r="F28" s="45" t="s">
        <v>259</v>
      </c>
      <c r="G28" s="44">
        <f>C28*E28</f>
        <v>3200</v>
      </c>
      <c r="I28" s="44">
        <f t="shared" ref="I28:I33" si="3">G28*12</f>
        <v>38400</v>
      </c>
    </row>
    <row r="29" spans="2:24" x14ac:dyDescent="0.35">
      <c r="B29" t="s">
        <v>246</v>
      </c>
      <c r="C29" s="44">
        <v>300</v>
      </c>
      <c r="D29" t="s">
        <v>260</v>
      </c>
      <c r="E29" s="45">
        <v>3</v>
      </c>
      <c r="F29" s="45" t="s">
        <v>261</v>
      </c>
      <c r="G29" s="44">
        <f>C29*E29</f>
        <v>900</v>
      </c>
      <c r="I29" s="44">
        <f t="shared" si="3"/>
        <v>10800</v>
      </c>
    </row>
    <row r="30" spans="2:24" x14ac:dyDescent="0.35">
      <c r="B30" t="s">
        <v>272</v>
      </c>
      <c r="C30" s="44">
        <v>25</v>
      </c>
      <c r="D30" t="s">
        <v>262</v>
      </c>
      <c r="E30" s="45">
        <f>12*2</f>
        <v>24</v>
      </c>
      <c r="F30" s="45" t="s">
        <v>261</v>
      </c>
      <c r="G30" s="44">
        <f t="shared" ref="G30:G37" si="4">E30*C30</f>
        <v>600</v>
      </c>
      <c r="I30" s="44">
        <f t="shared" si="3"/>
        <v>7200</v>
      </c>
    </row>
    <row r="31" spans="2:24" x14ac:dyDescent="0.35">
      <c r="B31" t="s">
        <v>247</v>
      </c>
      <c r="C31" s="44">
        <v>45</v>
      </c>
      <c r="D31" t="s">
        <v>262</v>
      </c>
      <c r="E31" s="45">
        <f>12*2</f>
        <v>24</v>
      </c>
      <c r="F31" s="45" t="s">
        <v>261</v>
      </c>
      <c r="G31" s="44">
        <f t="shared" si="4"/>
        <v>1080</v>
      </c>
      <c r="I31" s="44">
        <f t="shared" si="3"/>
        <v>12960</v>
      </c>
      <c r="N31" s="45" t="s">
        <v>285</v>
      </c>
      <c r="O31" s="45" t="s">
        <v>288</v>
      </c>
    </row>
    <row r="32" spans="2:24" x14ac:dyDescent="0.35">
      <c r="B32" t="s">
        <v>248</v>
      </c>
      <c r="C32" s="44">
        <v>45</v>
      </c>
      <c r="D32" t="s">
        <v>262</v>
      </c>
      <c r="E32" s="45">
        <f>12*2</f>
        <v>24</v>
      </c>
      <c r="F32" s="45" t="s">
        <v>261</v>
      </c>
      <c r="G32" s="44">
        <f t="shared" si="4"/>
        <v>1080</v>
      </c>
      <c r="I32" s="44">
        <f t="shared" si="3"/>
        <v>12960</v>
      </c>
      <c r="L32" t="s">
        <v>284</v>
      </c>
      <c r="M32">
        <f>E32*16</f>
        <v>384</v>
      </c>
      <c r="N32" s="45">
        <f>SQRT(M32)/2</f>
        <v>9.7979589711327115</v>
      </c>
      <c r="O32">
        <f>2*M32/(4*40)</f>
        <v>4.8</v>
      </c>
    </row>
    <row r="33" spans="2:25" x14ac:dyDescent="0.35">
      <c r="B33" t="s">
        <v>249</v>
      </c>
      <c r="C33" s="44">
        <f>(26*400/8)*2</f>
        <v>2600</v>
      </c>
      <c r="D33" t="s">
        <v>250</v>
      </c>
      <c r="E33" s="45">
        <v>4</v>
      </c>
      <c r="F33" s="45" t="s">
        <v>261</v>
      </c>
      <c r="G33" s="44">
        <f t="shared" si="4"/>
        <v>10400</v>
      </c>
      <c r="I33" s="44">
        <f t="shared" si="3"/>
        <v>124800</v>
      </c>
    </row>
    <row r="34" spans="2:25" x14ac:dyDescent="0.35">
      <c r="B34" t="s">
        <v>281</v>
      </c>
      <c r="C34" s="44">
        <f xml:space="preserve"> (1000*1.5)*0.25</f>
        <v>375</v>
      </c>
      <c r="D34" t="s">
        <v>263</v>
      </c>
      <c r="E34" s="45">
        <v>5</v>
      </c>
      <c r="F34" s="45" t="s">
        <v>264</v>
      </c>
      <c r="G34" s="44">
        <f t="shared" si="4"/>
        <v>1875</v>
      </c>
      <c r="I34" s="44">
        <f t="shared" ref="I34:I35" si="5">G34*12</f>
        <v>22500</v>
      </c>
    </row>
    <row r="35" spans="2:25" x14ac:dyDescent="0.35">
      <c r="B35" t="s">
        <v>256</v>
      </c>
      <c r="C35" s="44">
        <v>100</v>
      </c>
      <c r="D35" t="s">
        <v>277</v>
      </c>
      <c r="E35" s="45">
        <v>4</v>
      </c>
      <c r="F35" s="45" t="s">
        <v>259</v>
      </c>
      <c r="G35" s="44">
        <f t="shared" si="4"/>
        <v>400</v>
      </c>
      <c r="I35" s="44">
        <f t="shared" si="5"/>
        <v>4800</v>
      </c>
    </row>
    <row r="36" spans="2:25" x14ac:dyDescent="0.35">
      <c r="B36" t="s">
        <v>282</v>
      </c>
      <c r="C36" s="44">
        <v>2000</v>
      </c>
      <c r="D36" t="s">
        <v>283</v>
      </c>
      <c r="E36" s="45">
        <v>1</v>
      </c>
      <c r="F36" s="45" t="s">
        <v>261</v>
      </c>
      <c r="G36" s="44">
        <f t="shared" si="4"/>
        <v>2000</v>
      </c>
      <c r="I36" s="44">
        <f>G36*12</f>
        <v>24000</v>
      </c>
    </row>
    <row r="37" spans="2:25" x14ac:dyDescent="0.35">
      <c r="B37" t="s">
        <v>257</v>
      </c>
      <c r="C37" s="44">
        <v>20000</v>
      </c>
      <c r="D37" t="s">
        <v>265</v>
      </c>
      <c r="E37" s="45">
        <f>1/12</f>
        <v>8.3333333333333329E-2</v>
      </c>
      <c r="F37" s="45" t="s">
        <v>261</v>
      </c>
      <c r="G37" s="44">
        <f t="shared" si="4"/>
        <v>1666.6666666666665</v>
      </c>
      <c r="I37" s="44">
        <f>G37*12</f>
        <v>20000</v>
      </c>
    </row>
    <row r="40" spans="2:25" x14ac:dyDescent="0.35">
      <c r="B40" s="536" t="s">
        <v>289</v>
      </c>
      <c r="C40" s="536"/>
      <c r="D40" s="536"/>
      <c r="E40" s="536"/>
      <c r="F40" s="536"/>
      <c r="G40" s="536"/>
      <c r="H40" s="536"/>
      <c r="I40" s="536"/>
    </row>
    <row r="41" spans="2:25" x14ac:dyDescent="0.35">
      <c r="B41" s="111"/>
      <c r="C41" s="536" t="s">
        <v>267</v>
      </c>
      <c r="D41" s="536"/>
      <c r="E41" s="536"/>
      <c r="F41" s="536"/>
      <c r="G41" s="536"/>
      <c r="H41" s="536"/>
      <c r="I41" s="536"/>
    </row>
    <row r="42" spans="2:25" x14ac:dyDescent="0.35">
      <c r="G42" s="111" t="s">
        <v>129</v>
      </c>
      <c r="I42" s="111" t="s">
        <v>129</v>
      </c>
      <c r="Y42" t="s">
        <v>276</v>
      </c>
    </row>
    <row r="43" spans="2:25" x14ac:dyDescent="0.35">
      <c r="G43" s="112">
        <f>SUM(G47:G56)</f>
        <v>24921.666666666668</v>
      </c>
      <c r="I43" s="112">
        <f>SUM(I47:I56)</f>
        <v>299060</v>
      </c>
    </row>
    <row r="45" spans="2:25" x14ac:dyDescent="0.35">
      <c r="C45" s="536" t="s">
        <v>251</v>
      </c>
      <c r="D45" s="536"/>
      <c r="E45" s="536"/>
      <c r="F45" s="536"/>
      <c r="G45" s="536"/>
      <c r="H45" s="110"/>
      <c r="I45" s="110" t="s">
        <v>252</v>
      </c>
    </row>
    <row r="46" spans="2:25" x14ac:dyDescent="0.35">
      <c r="C46" s="113" t="s">
        <v>253</v>
      </c>
      <c r="D46" s="111" t="s">
        <v>15</v>
      </c>
      <c r="E46" s="111" t="s">
        <v>59</v>
      </c>
      <c r="F46" s="111" t="s">
        <v>15</v>
      </c>
      <c r="G46" s="111" t="s">
        <v>129</v>
      </c>
      <c r="H46" s="111"/>
      <c r="I46" s="111" t="s">
        <v>129</v>
      </c>
    </row>
    <row r="47" spans="2:25" x14ac:dyDescent="0.35">
      <c r="B47" t="s">
        <v>34</v>
      </c>
      <c r="C47" s="44">
        <v>15</v>
      </c>
      <c r="D47" t="s">
        <v>258</v>
      </c>
      <c r="E47" s="45">
        <f>4*8*4</f>
        <v>128</v>
      </c>
      <c r="F47" s="45" t="s">
        <v>259</v>
      </c>
      <c r="G47" s="44">
        <f>C47*E47</f>
        <v>1920</v>
      </c>
      <c r="I47" s="44">
        <f t="shared" ref="I47:I52" si="6">G47*12</f>
        <v>23040</v>
      </c>
    </row>
    <row r="48" spans="2:25" x14ac:dyDescent="0.35">
      <c r="B48" t="s">
        <v>246</v>
      </c>
      <c r="C48" s="44">
        <v>300</v>
      </c>
      <c r="D48" t="s">
        <v>260</v>
      </c>
      <c r="E48" s="45">
        <v>3</v>
      </c>
      <c r="F48" s="45" t="s">
        <v>261</v>
      </c>
      <c r="G48" s="44">
        <f>C48*E48</f>
        <v>900</v>
      </c>
      <c r="I48" s="44">
        <f t="shared" si="6"/>
        <v>10800</v>
      </c>
    </row>
    <row r="49" spans="2:9" x14ac:dyDescent="0.35">
      <c r="B49" t="s">
        <v>272</v>
      </c>
      <c r="C49" s="44">
        <v>30</v>
      </c>
      <c r="D49" t="s">
        <v>262</v>
      </c>
      <c r="E49" s="45">
        <f>12*2</f>
        <v>24</v>
      </c>
      <c r="F49" s="45" t="s">
        <v>261</v>
      </c>
      <c r="G49" s="44">
        <f t="shared" ref="G49:G56" si="7">E49*C49</f>
        <v>720</v>
      </c>
      <c r="I49" s="44">
        <f t="shared" si="6"/>
        <v>8640</v>
      </c>
    </row>
    <row r="50" spans="2:9" x14ac:dyDescent="0.35">
      <c r="B50" t="s">
        <v>247</v>
      </c>
      <c r="C50" s="44">
        <v>40</v>
      </c>
      <c r="D50" t="s">
        <v>262</v>
      </c>
      <c r="E50" s="45">
        <f>12*2</f>
        <v>24</v>
      </c>
      <c r="F50" s="45" t="s">
        <v>261</v>
      </c>
      <c r="G50" s="44">
        <f t="shared" si="7"/>
        <v>960</v>
      </c>
      <c r="I50" s="44">
        <f t="shared" si="6"/>
        <v>11520</v>
      </c>
    </row>
    <row r="51" spans="2:9" x14ac:dyDescent="0.35">
      <c r="B51" t="s">
        <v>248</v>
      </c>
      <c r="C51" s="44">
        <v>45</v>
      </c>
      <c r="D51" t="s">
        <v>262</v>
      </c>
      <c r="E51" s="45">
        <f>12*2</f>
        <v>24</v>
      </c>
      <c r="F51" s="45" t="s">
        <v>261</v>
      </c>
      <c r="G51" s="44">
        <f t="shared" si="7"/>
        <v>1080</v>
      </c>
      <c r="I51" s="44">
        <f t="shared" si="6"/>
        <v>12960</v>
      </c>
    </row>
    <row r="52" spans="2:9" x14ac:dyDescent="0.35">
      <c r="B52" t="s">
        <v>249</v>
      </c>
      <c r="C52" s="44">
        <f>(26*400/8)*2</f>
        <v>2600</v>
      </c>
      <c r="D52" t="s">
        <v>250</v>
      </c>
      <c r="E52" s="45">
        <v>4</v>
      </c>
      <c r="F52" s="45" t="s">
        <v>261</v>
      </c>
      <c r="G52" s="44">
        <f t="shared" si="7"/>
        <v>10400</v>
      </c>
      <c r="I52" s="44">
        <f t="shared" si="6"/>
        <v>124800</v>
      </c>
    </row>
    <row r="53" spans="2:9" x14ac:dyDescent="0.35">
      <c r="B53" t="s">
        <v>281</v>
      </c>
      <c r="C53" s="44">
        <f xml:space="preserve"> (1000*1.5)*0.25</f>
        <v>375</v>
      </c>
      <c r="D53" t="s">
        <v>263</v>
      </c>
      <c r="E53" s="45">
        <v>5</v>
      </c>
      <c r="F53" s="45" t="s">
        <v>264</v>
      </c>
      <c r="G53" s="44">
        <f t="shared" si="7"/>
        <v>1875</v>
      </c>
      <c r="I53" s="44">
        <f t="shared" ref="I53:I54" si="8">G53*12</f>
        <v>22500</v>
      </c>
    </row>
    <row r="54" spans="2:9" x14ac:dyDescent="0.35">
      <c r="B54" t="s">
        <v>256</v>
      </c>
      <c r="C54" s="44">
        <v>100</v>
      </c>
      <c r="D54" t="s">
        <v>277</v>
      </c>
      <c r="E54" s="45">
        <v>4</v>
      </c>
      <c r="F54" s="45" t="s">
        <v>259</v>
      </c>
      <c r="G54" s="44">
        <f t="shared" si="7"/>
        <v>400</v>
      </c>
      <c r="I54" s="44">
        <f t="shared" si="8"/>
        <v>4800</v>
      </c>
    </row>
    <row r="55" spans="2:9" x14ac:dyDescent="0.35">
      <c r="B55" t="s">
        <v>282</v>
      </c>
      <c r="C55" s="44">
        <v>5000</v>
      </c>
      <c r="D55" t="s">
        <v>283</v>
      </c>
      <c r="E55" s="45">
        <v>1</v>
      </c>
      <c r="F55" s="45" t="s">
        <v>261</v>
      </c>
      <c r="G55" s="44">
        <f t="shared" si="7"/>
        <v>5000</v>
      </c>
      <c r="I55" s="44">
        <f>G55*12</f>
        <v>60000</v>
      </c>
    </row>
    <row r="56" spans="2:9" x14ac:dyDescent="0.35">
      <c r="B56" t="s">
        <v>257</v>
      </c>
      <c r="C56" s="44">
        <v>20000</v>
      </c>
      <c r="D56" t="s">
        <v>265</v>
      </c>
      <c r="E56" s="45">
        <f>1/12</f>
        <v>8.3333333333333329E-2</v>
      </c>
      <c r="F56" s="45" t="s">
        <v>261</v>
      </c>
      <c r="G56" s="44">
        <f t="shared" si="7"/>
        <v>1666.6666666666665</v>
      </c>
      <c r="I56" s="44">
        <f>G56*12</f>
        <v>20000</v>
      </c>
    </row>
  </sheetData>
  <mergeCells count="11">
    <mergeCell ref="B2:I2"/>
    <mergeCell ref="C7:G7"/>
    <mergeCell ref="B40:I40"/>
    <mergeCell ref="C41:I41"/>
    <mergeCell ref="C45:G45"/>
    <mergeCell ref="K7:O7"/>
    <mergeCell ref="C3:I3"/>
    <mergeCell ref="K3:Q3"/>
    <mergeCell ref="C22:I22"/>
    <mergeCell ref="C26:G26"/>
    <mergeCell ref="B21:I21"/>
  </mergeCells>
  <dataValidations count="1">
    <dataValidation type="list" allowBlank="1" showInputMessage="1" showErrorMessage="1" sqref="F28:F37 F9:F19 F47:F56">
      <formula1>"Hour, Day, Week, Month, Year"</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5"/>
  <sheetViews>
    <sheetView topLeftCell="A10" workbookViewId="0">
      <selection activeCell="G28" sqref="G28"/>
    </sheetView>
  </sheetViews>
  <sheetFormatPr defaultRowHeight="14.5" x14ac:dyDescent="0.35"/>
  <cols>
    <col min="1" max="1" width="29.36328125" bestFit="1" customWidth="1"/>
    <col min="2" max="2" width="11.81640625" bestFit="1" customWidth="1"/>
    <col min="3" max="3" width="14.08984375" bestFit="1" customWidth="1"/>
    <col min="4" max="4" width="8.6328125" bestFit="1" customWidth="1"/>
    <col min="5" max="5" width="10.36328125" customWidth="1"/>
  </cols>
  <sheetData>
    <row r="1" spans="1:18" ht="16" x14ac:dyDescent="0.5">
      <c r="A1" s="390"/>
      <c r="B1" s="390"/>
      <c r="C1" s="390"/>
      <c r="D1" s="390"/>
      <c r="E1" s="390"/>
      <c r="F1" s="390"/>
      <c r="G1" s="391"/>
      <c r="H1" s="391"/>
      <c r="I1" s="391"/>
      <c r="J1" s="392"/>
      <c r="K1" s="391"/>
      <c r="L1" s="391"/>
      <c r="M1" s="391"/>
      <c r="N1" s="391"/>
      <c r="O1" s="391"/>
      <c r="P1" s="391"/>
      <c r="Q1" s="391"/>
      <c r="R1" s="391"/>
    </row>
    <row r="2" spans="1:18" ht="16" x14ac:dyDescent="0.5">
      <c r="A2" s="393"/>
      <c r="B2" s="394" t="s">
        <v>453</v>
      </c>
      <c r="C2" s="395"/>
      <c r="D2" s="395"/>
      <c r="E2" s="395"/>
      <c r="F2" s="395"/>
      <c r="G2" s="391"/>
      <c r="H2" s="391"/>
      <c r="I2" s="391"/>
      <c r="J2" s="391"/>
      <c r="K2" s="391"/>
      <c r="L2" s="391"/>
      <c r="M2" s="391"/>
      <c r="N2" s="391"/>
      <c r="O2" s="391"/>
      <c r="P2" s="391"/>
      <c r="Q2" s="391"/>
      <c r="R2" s="391"/>
    </row>
    <row r="3" spans="1:18" ht="16" x14ac:dyDescent="0.5">
      <c r="A3" s="393"/>
      <c r="B3" s="396"/>
      <c r="C3" s="395"/>
      <c r="D3" s="395"/>
      <c r="E3" s="395"/>
      <c r="F3" s="395"/>
      <c r="G3" s="391"/>
      <c r="H3" s="391"/>
      <c r="I3" s="391"/>
      <c r="J3" s="391"/>
      <c r="K3" s="391"/>
      <c r="L3" s="391"/>
      <c r="M3" s="391"/>
      <c r="N3" s="391"/>
      <c r="O3" s="391"/>
      <c r="P3" s="391"/>
      <c r="Q3" s="391"/>
      <c r="R3" s="391"/>
    </row>
    <row r="4" spans="1:18" ht="16" x14ac:dyDescent="0.5">
      <c r="A4" s="393"/>
      <c r="B4" s="394" t="s">
        <v>454</v>
      </c>
      <c r="C4" s="397" t="s">
        <v>455</v>
      </c>
      <c r="D4" s="395"/>
      <c r="E4" s="395"/>
      <c r="F4" s="395"/>
      <c r="G4" s="391"/>
      <c r="H4" s="391"/>
      <c r="I4" s="391"/>
      <c r="J4" s="391"/>
      <c r="K4" s="391"/>
      <c r="L4" s="391"/>
      <c r="M4" s="391"/>
      <c r="N4" s="391"/>
      <c r="O4" s="391"/>
      <c r="P4" s="391"/>
      <c r="Q4" s="391"/>
      <c r="R4" s="391"/>
    </row>
    <row r="5" spans="1:18" ht="16" x14ac:dyDescent="0.5">
      <c r="A5" s="393"/>
      <c r="B5" s="398" t="str">
        <f>IF(ISBLANK([2]Directions!C6), "Owner", [2]Directions!C6)</f>
        <v>Nils Johnson</v>
      </c>
      <c r="C5" s="392" t="str">
        <f>IF(ISBLANK([2]Directions!D6), "Company 1", [2]Directions!D6)</f>
        <v>Prospective Stevens County Food Processing Facility</v>
      </c>
      <c r="D5" s="395"/>
      <c r="E5" s="395"/>
      <c r="F5" s="395"/>
      <c r="G5" s="391"/>
      <c r="H5" s="391"/>
      <c r="I5" s="391"/>
      <c r="J5" s="391"/>
      <c r="K5" s="391"/>
      <c r="L5" s="391"/>
      <c r="M5" s="391"/>
      <c r="N5" s="391"/>
      <c r="O5" s="391"/>
      <c r="P5" s="391"/>
      <c r="Q5" s="391"/>
      <c r="R5" s="391"/>
    </row>
    <row r="6" spans="1:18" ht="16" x14ac:dyDescent="0.5">
      <c r="A6" s="393"/>
      <c r="B6" s="390"/>
      <c r="C6" s="390"/>
      <c r="D6" s="390"/>
      <c r="E6" s="390"/>
      <c r="F6" s="390"/>
      <c r="G6" s="399"/>
      <c r="H6" s="399"/>
      <c r="I6" s="399"/>
      <c r="J6" s="400"/>
      <c r="K6" s="399"/>
      <c r="L6" s="399"/>
      <c r="M6" s="399"/>
      <c r="N6" s="391"/>
      <c r="O6" s="391"/>
      <c r="P6" s="391"/>
      <c r="Q6" s="391"/>
      <c r="R6" s="391"/>
    </row>
    <row r="7" spans="1:18" ht="105.5" thickBot="1" x14ac:dyDescent="0.55000000000000004">
      <c r="A7" s="444" t="s">
        <v>456</v>
      </c>
      <c r="B7" s="444" t="s">
        <v>457</v>
      </c>
      <c r="C7" s="444" t="s">
        <v>458</v>
      </c>
      <c r="D7" s="444" t="s">
        <v>459</v>
      </c>
      <c r="E7" s="444" t="s">
        <v>460</v>
      </c>
      <c r="F7" s="445" t="str">
        <f>[2]Directions!B34</f>
        <v>March</v>
      </c>
      <c r="G7" s="445" t="str">
        <f>[2]Directions!C34</f>
        <v>April</v>
      </c>
      <c r="H7" s="445" t="str">
        <f>[2]Directions!D34</f>
        <v>May</v>
      </c>
      <c r="I7" s="445" t="str">
        <f>[2]Directions!E34</f>
        <v>June</v>
      </c>
      <c r="J7" s="445" t="str">
        <f>[2]Directions!F34</f>
        <v>July</v>
      </c>
      <c r="K7" s="445" t="str">
        <f>[2]Directions!G34</f>
        <v>August</v>
      </c>
      <c r="L7" s="445" t="str">
        <f>[2]Directions!H34</f>
        <v>September</v>
      </c>
      <c r="M7" s="445" t="str">
        <f>[2]Directions!I34</f>
        <v>October</v>
      </c>
      <c r="N7" s="445" t="str">
        <f>[2]Directions!J34</f>
        <v>November</v>
      </c>
      <c r="O7" s="445" t="str">
        <f>[2]Directions!K34</f>
        <v>December</v>
      </c>
      <c r="P7" s="445" t="str">
        <f>[2]Directions!L34</f>
        <v>January</v>
      </c>
      <c r="Q7" s="445" t="str">
        <f>[2]Directions!M34</f>
        <v>February</v>
      </c>
      <c r="R7" s="444" t="s">
        <v>461</v>
      </c>
    </row>
    <row r="8" spans="1:18" ht="16.5" thickTop="1" x14ac:dyDescent="0.5">
      <c r="A8" s="429" t="s">
        <v>462</v>
      </c>
      <c r="B8" s="401">
        <v>1</v>
      </c>
      <c r="C8" s="402">
        <f>50000/2000</f>
        <v>25</v>
      </c>
      <c r="D8" s="403">
        <v>40</v>
      </c>
      <c r="E8" s="437">
        <f>(C8*D8*B8)*52/12</f>
        <v>4333.333333333333</v>
      </c>
      <c r="F8" s="405">
        <f>E8</f>
        <v>4333.333333333333</v>
      </c>
      <c r="G8" s="405">
        <f t="shared" ref="G8:Q8" si="0">F8</f>
        <v>4333.333333333333</v>
      </c>
      <c r="H8" s="405">
        <f t="shared" si="0"/>
        <v>4333.333333333333</v>
      </c>
      <c r="I8" s="405">
        <f t="shared" si="0"/>
        <v>4333.333333333333</v>
      </c>
      <c r="J8" s="405">
        <f t="shared" si="0"/>
        <v>4333.333333333333</v>
      </c>
      <c r="K8" s="405">
        <f t="shared" si="0"/>
        <v>4333.333333333333</v>
      </c>
      <c r="L8" s="405">
        <f t="shared" si="0"/>
        <v>4333.333333333333</v>
      </c>
      <c r="M8" s="405">
        <f t="shared" si="0"/>
        <v>4333.333333333333</v>
      </c>
      <c r="N8" s="405">
        <f t="shared" si="0"/>
        <v>4333.333333333333</v>
      </c>
      <c r="O8" s="405">
        <f t="shared" si="0"/>
        <v>4333.333333333333</v>
      </c>
      <c r="P8" s="405">
        <f t="shared" si="0"/>
        <v>4333.333333333333</v>
      </c>
      <c r="Q8" s="405">
        <f t="shared" si="0"/>
        <v>4333.333333333333</v>
      </c>
      <c r="R8" s="436">
        <f>SUM(F8:Q8)</f>
        <v>52000.000000000007</v>
      </c>
    </row>
    <row r="9" spans="1:18" ht="16" x14ac:dyDescent="0.5">
      <c r="A9" s="430" t="s">
        <v>463</v>
      </c>
      <c r="B9" s="407">
        <v>1</v>
      </c>
      <c r="C9" s="408">
        <f>36000/2000</f>
        <v>18</v>
      </c>
      <c r="D9" s="409">
        <v>40</v>
      </c>
      <c r="E9" s="434">
        <f>(C9*D9*B9)*52/12</f>
        <v>3120</v>
      </c>
      <c r="F9" s="411">
        <f t="shared" ref="F9:Q11" si="1">E9</f>
        <v>3120</v>
      </c>
      <c r="G9" s="411">
        <f t="shared" si="1"/>
        <v>3120</v>
      </c>
      <c r="H9" s="411">
        <f t="shared" si="1"/>
        <v>3120</v>
      </c>
      <c r="I9" s="411">
        <f t="shared" si="1"/>
        <v>3120</v>
      </c>
      <c r="J9" s="411">
        <f t="shared" si="1"/>
        <v>3120</v>
      </c>
      <c r="K9" s="411">
        <f t="shared" si="1"/>
        <v>3120</v>
      </c>
      <c r="L9" s="411">
        <f t="shared" si="1"/>
        <v>3120</v>
      </c>
      <c r="M9" s="411">
        <f t="shared" si="1"/>
        <v>3120</v>
      </c>
      <c r="N9" s="411">
        <f t="shared" si="1"/>
        <v>3120</v>
      </c>
      <c r="O9" s="411">
        <f t="shared" si="1"/>
        <v>3120</v>
      </c>
      <c r="P9" s="411">
        <f t="shared" si="1"/>
        <v>3120</v>
      </c>
      <c r="Q9" s="411">
        <f t="shared" si="1"/>
        <v>3120</v>
      </c>
      <c r="R9" s="435">
        <f>SUM(F9:Q9)</f>
        <v>37440</v>
      </c>
    </row>
    <row r="10" spans="1:18" ht="16" x14ac:dyDescent="0.5">
      <c r="A10" s="430" t="s">
        <v>464</v>
      </c>
      <c r="B10" s="407">
        <v>3</v>
      </c>
      <c r="C10" s="408">
        <f>30000/2000</f>
        <v>15</v>
      </c>
      <c r="D10" s="409">
        <v>20</v>
      </c>
      <c r="E10" s="434">
        <f>(C10*D10*B10)*52/12</f>
        <v>3900</v>
      </c>
      <c r="F10" s="411">
        <f t="shared" si="1"/>
        <v>3900</v>
      </c>
      <c r="G10" s="411">
        <f t="shared" si="1"/>
        <v>3900</v>
      </c>
      <c r="H10" s="411">
        <f t="shared" si="1"/>
        <v>3900</v>
      </c>
      <c r="I10" s="411">
        <f t="shared" si="1"/>
        <v>3900</v>
      </c>
      <c r="J10" s="411">
        <f t="shared" si="1"/>
        <v>3900</v>
      </c>
      <c r="K10" s="411">
        <f t="shared" si="1"/>
        <v>3900</v>
      </c>
      <c r="L10" s="411">
        <f t="shared" si="1"/>
        <v>3900</v>
      </c>
      <c r="M10" s="411">
        <f t="shared" si="1"/>
        <v>3900</v>
      </c>
      <c r="N10" s="411">
        <f t="shared" si="1"/>
        <v>3900</v>
      </c>
      <c r="O10" s="411">
        <f t="shared" si="1"/>
        <v>3900</v>
      </c>
      <c r="P10" s="411">
        <f t="shared" si="1"/>
        <v>3900</v>
      </c>
      <c r="Q10" s="411">
        <f t="shared" si="1"/>
        <v>3900</v>
      </c>
      <c r="R10" s="435">
        <f>SUM(F10:Q10)</f>
        <v>46800</v>
      </c>
    </row>
    <row r="11" spans="1:18" ht="16" x14ac:dyDescent="0.5">
      <c r="A11" s="430" t="s">
        <v>465</v>
      </c>
      <c r="B11" s="407"/>
      <c r="C11" s="408"/>
      <c r="D11" s="409"/>
      <c r="E11" s="434">
        <f>(C11*D11*B11)*52/12</f>
        <v>0</v>
      </c>
      <c r="F11" s="411">
        <f t="shared" si="1"/>
        <v>0</v>
      </c>
      <c r="G11" s="411">
        <f t="shared" si="1"/>
        <v>0</v>
      </c>
      <c r="H11" s="411">
        <f t="shared" si="1"/>
        <v>0</v>
      </c>
      <c r="I11" s="411">
        <f t="shared" si="1"/>
        <v>0</v>
      </c>
      <c r="J11" s="411">
        <f t="shared" si="1"/>
        <v>0</v>
      </c>
      <c r="K11" s="411">
        <f t="shared" si="1"/>
        <v>0</v>
      </c>
      <c r="L11" s="411">
        <f t="shared" si="1"/>
        <v>0</v>
      </c>
      <c r="M11" s="411">
        <f t="shared" si="1"/>
        <v>0</v>
      </c>
      <c r="N11" s="411">
        <f t="shared" si="1"/>
        <v>0</v>
      </c>
      <c r="O11" s="411">
        <f t="shared" si="1"/>
        <v>0</v>
      </c>
      <c r="P11" s="411">
        <f t="shared" si="1"/>
        <v>0</v>
      </c>
      <c r="Q11" s="411">
        <f t="shared" si="1"/>
        <v>0</v>
      </c>
      <c r="R11" s="435">
        <f>SUM(F11:Q11)</f>
        <v>0</v>
      </c>
    </row>
    <row r="12" spans="1:18" ht="16" x14ac:dyDescent="0.5">
      <c r="A12" s="428" t="s">
        <v>466</v>
      </c>
      <c r="B12" s="431">
        <f>SUM(B8:B11)</f>
        <v>5</v>
      </c>
      <c r="C12" s="432">
        <f t="shared" ref="C12:R12" si="2">SUM(C8:C11)</f>
        <v>58</v>
      </c>
      <c r="D12" s="433">
        <f>SUM(D8:D11)</f>
        <v>100</v>
      </c>
      <c r="E12" s="434">
        <f t="shared" si="2"/>
        <v>11353.333333333332</v>
      </c>
      <c r="F12" s="435">
        <f t="shared" si="2"/>
        <v>11353.333333333332</v>
      </c>
      <c r="G12" s="435">
        <f t="shared" si="2"/>
        <v>11353.333333333332</v>
      </c>
      <c r="H12" s="435">
        <f t="shared" si="2"/>
        <v>11353.333333333332</v>
      </c>
      <c r="I12" s="435">
        <f t="shared" si="2"/>
        <v>11353.333333333332</v>
      </c>
      <c r="J12" s="435">
        <f t="shared" si="2"/>
        <v>11353.333333333332</v>
      </c>
      <c r="K12" s="435">
        <f t="shared" si="2"/>
        <v>11353.333333333332</v>
      </c>
      <c r="L12" s="435">
        <f t="shared" si="2"/>
        <v>11353.333333333332</v>
      </c>
      <c r="M12" s="435">
        <f t="shared" si="2"/>
        <v>11353.333333333332</v>
      </c>
      <c r="N12" s="435">
        <f t="shared" si="2"/>
        <v>11353.333333333332</v>
      </c>
      <c r="O12" s="435">
        <f t="shared" si="2"/>
        <v>11353.333333333332</v>
      </c>
      <c r="P12" s="435">
        <f t="shared" si="2"/>
        <v>11353.333333333332</v>
      </c>
      <c r="Q12" s="435">
        <f t="shared" si="2"/>
        <v>11353.333333333332</v>
      </c>
      <c r="R12" s="435">
        <f t="shared" si="2"/>
        <v>136240</v>
      </c>
    </row>
    <row r="13" spans="1:18" ht="16" x14ac:dyDescent="0.5">
      <c r="A13" s="413"/>
      <c r="B13" s="413"/>
      <c r="C13" s="414"/>
      <c r="D13" s="415"/>
      <c r="E13" s="415"/>
      <c r="F13" s="415"/>
      <c r="G13" s="415"/>
      <c r="H13" s="415"/>
      <c r="I13" s="416"/>
      <c r="J13" s="416"/>
      <c r="K13" s="416"/>
      <c r="L13" s="416"/>
      <c r="M13" s="416"/>
      <c r="N13" s="416"/>
      <c r="O13" s="416"/>
      <c r="P13" s="416"/>
      <c r="Q13" s="416"/>
      <c r="R13" s="417"/>
    </row>
    <row r="14" spans="1:18" ht="60.5" thickBot="1" x14ac:dyDescent="0.55000000000000004">
      <c r="A14" s="427" t="s">
        <v>467</v>
      </c>
      <c r="B14" s="444" t="s">
        <v>468</v>
      </c>
      <c r="C14" s="444" t="s">
        <v>469</v>
      </c>
      <c r="D14" s="444"/>
      <c r="E14" s="444" t="s">
        <v>470</v>
      </c>
      <c r="F14" s="444" t="str">
        <f>'[2]3a-SalesForecastYear1'!C27</f>
        <v>March</v>
      </c>
      <c r="G14" s="444" t="str">
        <f>'[2]3a-SalesForecastYear1'!D27</f>
        <v>April</v>
      </c>
      <c r="H14" s="444" t="str">
        <f>'[2]3a-SalesForecastYear1'!E27</f>
        <v>May</v>
      </c>
      <c r="I14" s="444" t="str">
        <f>'[2]3a-SalesForecastYear1'!F27</f>
        <v>June</v>
      </c>
      <c r="J14" s="444" t="str">
        <f>'[2]3a-SalesForecastYear1'!G27</f>
        <v>July</v>
      </c>
      <c r="K14" s="444" t="str">
        <f>'[2]3a-SalesForecastYear1'!H27</f>
        <v>August</v>
      </c>
      <c r="L14" s="444" t="str">
        <f>'[2]3a-SalesForecastYear1'!I27</f>
        <v>September</v>
      </c>
      <c r="M14" s="444" t="str">
        <f>'[2]3a-SalesForecastYear1'!J27</f>
        <v>October</v>
      </c>
      <c r="N14" s="444" t="str">
        <f>'[2]3a-SalesForecastYear1'!K27</f>
        <v>November</v>
      </c>
      <c r="O14" s="444" t="str">
        <f>'[2]3a-SalesForecastYear1'!L27</f>
        <v>December</v>
      </c>
      <c r="P14" s="444" t="str">
        <f>'[2]3a-SalesForecastYear1'!M27</f>
        <v>January</v>
      </c>
      <c r="Q14" s="444" t="str">
        <f>'[2]3a-SalesForecastYear1'!N27</f>
        <v>February</v>
      </c>
      <c r="R14" s="444" t="str">
        <f>'[2]3a-SalesForecastYear1'!O27</f>
        <v>Annual Totals</v>
      </c>
    </row>
    <row r="15" spans="1:18" ht="16.5" thickTop="1" x14ac:dyDescent="0.5">
      <c r="A15" s="429" t="s">
        <v>471</v>
      </c>
      <c r="B15" s="404">
        <v>117000</v>
      </c>
      <c r="C15" s="418">
        <v>6.2E-2</v>
      </c>
      <c r="D15" s="419"/>
      <c r="E15" s="441">
        <f>(E$8+E$9+E$10)*$C$15</f>
        <v>703.90666666666664</v>
      </c>
      <c r="F15" s="405">
        <f t="shared" ref="F15:Q15" si="3">(F$8+F$9+F$10)*$C$15</f>
        <v>703.90666666666664</v>
      </c>
      <c r="G15" s="405">
        <f t="shared" si="3"/>
        <v>703.90666666666664</v>
      </c>
      <c r="H15" s="405">
        <f t="shared" si="3"/>
        <v>703.90666666666664</v>
      </c>
      <c r="I15" s="405">
        <f t="shared" si="3"/>
        <v>703.90666666666664</v>
      </c>
      <c r="J15" s="405">
        <f t="shared" si="3"/>
        <v>703.90666666666664</v>
      </c>
      <c r="K15" s="405">
        <f t="shared" si="3"/>
        <v>703.90666666666664</v>
      </c>
      <c r="L15" s="405">
        <f t="shared" si="3"/>
        <v>703.90666666666664</v>
      </c>
      <c r="M15" s="405">
        <f t="shared" si="3"/>
        <v>703.90666666666664</v>
      </c>
      <c r="N15" s="405">
        <f t="shared" si="3"/>
        <v>703.90666666666664</v>
      </c>
      <c r="O15" s="405">
        <f t="shared" si="3"/>
        <v>703.90666666666664</v>
      </c>
      <c r="P15" s="405">
        <f t="shared" si="3"/>
        <v>703.90666666666664</v>
      </c>
      <c r="Q15" s="405">
        <f t="shared" si="3"/>
        <v>703.90666666666664</v>
      </c>
      <c r="R15" s="438">
        <f>SUM(F15:Q15)</f>
        <v>8446.8799999999992</v>
      </c>
    </row>
    <row r="16" spans="1:18" ht="16" x14ac:dyDescent="0.5">
      <c r="A16" s="430" t="s">
        <v>472</v>
      </c>
      <c r="B16" s="420" t="s">
        <v>473</v>
      </c>
      <c r="C16" s="421">
        <v>1.4500000000000001E-2</v>
      </c>
      <c r="D16" s="422"/>
      <c r="E16" s="442">
        <f>(E$8+E$9+E$10)*$C$16</f>
        <v>164.62333333333333</v>
      </c>
      <c r="F16" s="411">
        <f>(F$8+F$9+F$10)*$C$16</f>
        <v>164.62333333333333</v>
      </c>
      <c r="G16" s="411">
        <f t="shared" ref="G16:Q16" si="4">(G$8+G$9+G$10)*$C$16</f>
        <v>164.62333333333333</v>
      </c>
      <c r="H16" s="411">
        <f t="shared" si="4"/>
        <v>164.62333333333333</v>
      </c>
      <c r="I16" s="411">
        <f t="shared" si="4"/>
        <v>164.62333333333333</v>
      </c>
      <c r="J16" s="411">
        <f t="shared" si="4"/>
        <v>164.62333333333333</v>
      </c>
      <c r="K16" s="411">
        <f t="shared" si="4"/>
        <v>164.62333333333333</v>
      </c>
      <c r="L16" s="411">
        <f t="shared" si="4"/>
        <v>164.62333333333333</v>
      </c>
      <c r="M16" s="411">
        <f t="shared" si="4"/>
        <v>164.62333333333333</v>
      </c>
      <c r="N16" s="411">
        <f t="shared" si="4"/>
        <v>164.62333333333333</v>
      </c>
      <c r="O16" s="411">
        <f t="shared" si="4"/>
        <v>164.62333333333333</v>
      </c>
      <c r="P16" s="411">
        <f t="shared" si="4"/>
        <v>164.62333333333333</v>
      </c>
      <c r="Q16" s="411">
        <f t="shared" si="4"/>
        <v>164.62333333333333</v>
      </c>
      <c r="R16" s="439">
        <f t="shared" ref="R16:R22" si="5">SUM(F16:Q16)</f>
        <v>1975.4800000000005</v>
      </c>
    </row>
    <row r="17" spans="1:18" ht="16" x14ac:dyDescent="0.5">
      <c r="A17" s="430" t="s">
        <v>474</v>
      </c>
      <c r="B17" s="423">
        <v>7000</v>
      </c>
      <c r="C17" s="421">
        <v>6.0000000000000001E-3</v>
      </c>
      <c r="D17" s="422"/>
      <c r="E17" s="442">
        <f>+$B$12*B17*C17/12</f>
        <v>17.5</v>
      </c>
      <c r="F17" s="411">
        <f t="shared" ref="F17:Q22" si="6">E17</f>
        <v>17.5</v>
      </c>
      <c r="G17" s="411">
        <f t="shared" si="6"/>
        <v>17.5</v>
      </c>
      <c r="H17" s="411">
        <f t="shared" si="6"/>
        <v>17.5</v>
      </c>
      <c r="I17" s="411">
        <f t="shared" si="6"/>
        <v>17.5</v>
      </c>
      <c r="J17" s="411">
        <f t="shared" si="6"/>
        <v>17.5</v>
      </c>
      <c r="K17" s="411">
        <f t="shared" si="6"/>
        <v>17.5</v>
      </c>
      <c r="L17" s="411">
        <f t="shared" si="6"/>
        <v>17.5</v>
      </c>
      <c r="M17" s="411">
        <f t="shared" si="6"/>
        <v>17.5</v>
      </c>
      <c r="N17" s="411">
        <f t="shared" si="6"/>
        <v>17.5</v>
      </c>
      <c r="O17" s="411">
        <f t="shared" si="6"/>
        <v>17.5</v>
      </c>
      <c r="P17" s="411">
        <f t="shared" si="6"/>
        <v>17.5</v>
      </c>
      <c r="Q17" s="411">
        <f t="shared" si="6"/>
        <v>17.5</v>
      </c>
      <c r="R17" s="439">
        <f t="shared" si="5"/>
        <v>210</v>
      </c>
    </row>
    <row r="18" spans="1:18" ht="16" x14ac:dyDescent="0.5">
      <c r="A18" s="430" t="s">
        <v>475</v>
      </c>
      <c r="B18" s="423">
        <v>7000</v>
      </c>
      <c r="C18" s="421">
        <v>3.4500000000000003E-2</v>
      </c>
      <c r="D18" s="422"/>
      <c r="E18" s="442">
        <f>+$B$12*B18*C18/12</f>
        <v>100.625</v>
      </c>
      <c r="F18" s="411">
        <f t="shared" si="6"/>
        <v>100.625</v>
      </c>
      <c r="G18" s="411">
        <f t="shared" si="6"/>
        <v>100.625</v>
      </c>
      <c r="H18" s="411">
        <f t="shared" si="6"/>
        <v>100.625</v>
      </c>
      <c r="I18" s="411">
        <f t="shared" si="6"/>
        <v>100.625</v>
      </c>
      <c r="J18" s="411">
        <f t="shared" si="6"/>
        <v>100.625</v>
      </c>
      <c r="K18" s="411">
        <f t="shared" si="6"/>
        <v>100.625</v>
      </c>
      <c r="L18" s="411">
        <f t="shared" si="6"/>
        <v>100.625</v>
      </c>
      <c r="M18" s="411">
        <f t="shared" si="6"/>
        <v>100.625</v>
      </c>
      <c r="N18" s="411">
        <f t="shared" si="6"/>
        <v>100.625</v>
      </c>
      <c r="O18" s="411">
        <f t="shared" si="6"/>
        <v>100.625</v>
      </c>
      <c r="P18" s="411">
        <f t="shared" si="6"/>
        <v>100.625</v>
      </c>
      <c r="Q18" s="411">
        <f t="shared" si="6"/>
        <v>100.625</v>
      </c>
      <c r="R18" s="439">
        <f t="shared" si="5"/>
        <v>1207.5</v>
      </c>
    </row>
    <row r="19" spans="1:18" ht="16" x14ac:dyDescent="0.5">
      <c r="A19" s="430" t="s">
        <v>476</v>
      </c>
      <c r="B19" s="420" t="s">
        <v>473</v>
      </c>
      <c r="C19" s="421">
        <v>0</v>
      </c>
      <c r="D19" s="422"/>
      <c r="E19" s="442">
        <f>($E$8+$E$9+$E$10)*C19</f>
        <v>0</v>
      </c>
      <c r="F19" s="411">
        <f t="shared" si="6"/>
        <v>0</v>
      </c>
      <c r="G19" s="411">
        <f t="shared" si="6"/>
        <v>0</v>
      </c>
      <c r="H19" s="411">
        <f t="shared" si="6"/>
        <v>0</v>
      </c>
      <c r="I19" s="411">
        <f t="shared" si="6"/>
        <v>0</v>
      </c>
      <c r="J19" s="411">
        <f t="shared" si="6"/>
        <v>0</v>
      </c>
      <c r="K19" s="411">
        <f t="shared" si="6"/>
        <v>0</v>
      </c>
      <c r="L19" s="411">
        <f t="shared" si="6"/>
        <v>0</v>
      </c>
      <c r="M19" s="411">
        <f t="shared" si="6"/>
        <v>0</v>
      </c>
      <c r="N19" s="411">
        <f t="shared" si="6"/>
        <v>0</v>
      </c>
      <c r="O19" s="411">
        <f t="shared" si="6"/>
        <v>0</v>
      </c>
      <c r="P19" s="411">
        <f t="shared" si="6"/>
        <v>0</v>
      </c>
      <c r="Q19" s="411">
        <f t="shared" si="6"/>
        <v>0</v>
      </c>
      <c r="R19" s="439">
        <f t="shared" si="5"/>
        <v>0</v>
      </c>
    </row>
    <row r="20" spans="1:18" ht="16" x14ac:dyDescent="0.5">
      <c r="A20" s="430" t="s">
        <v>477</v>
      </c>
      <c r="B20" s="420" t="s">
        <v>473</v>
      </c>
      <c r="C20" s="421">
        <v>0.05</v>
      </c>
      <c r="D20" s="424"/>
      <c r="E20" s="442">
        <f>($E$8+$E$9+$E$10)*C20</f>
        <v>567.66666666666663</v>
      </c>
      <c r="F20" s="411">
        <f t="shared" si="6"/>
        <v>567.66666666666663</v>
      </c>
      <c r="G20" s="411">
        <f t="shared" si="6"/>
        <v>567.66666666666663</v>
      </c>
      <c r="H20" s="411">
        <f t="shared" si="6"/>
        <v>567.66666666666663</v>
      </c>
      <c r="I20" s="411">
        <f t="shared" si="6"/>
        <v>567.66666666666663</v>
      </c>
      <c r="J20" s="411">
        <f t="shared" si="6"/>
        <v>567.66666666666663</v>
      </c>
      <c r="K20" s="411">
        <f t="shared" si="6"/>
        <v>567.66666666666663</v>
      </c>
      <c r="L20" s="411">
        <f t="shared" si="6"/>
        <v>567.66666666666663</v>
      </c>
      <c r="M20" s="411">
        <f t="shared" si="6"/>
        <v>567.66666666666663</v>
      </c>
      <c r="N20" s="411">
        <f t="shared" si="6"/>
        <v>567.66666666666663</v>
      </c>
      <c r="O20" s="411">
        <f t="shared" si="6"/>
        <v>567.66666666666663</v>
      </c>
      <c r="P20" s="411">
        <f t="shared" si="6"/>
        <v>567.66666666666663</v>
      </c>
      <c r="Q20" s="411">
        <f t="shared" si="6"/>
        <v>567.66666666666663</v>
      </c>
      <c r="R20" s="439">
        <f t="shared" si="5"/>
        <v>6812.0000000000009</v>
      </c>
    </row>
    <row r="21" spans="1:18" ht="16" x14ac:dyDescent="0.5">
      <c r="A21" s="430" t="s">
        <v>478</v>
      </c>
      <c r="B21" s="420" t="s">
        <v>473</v>
      </c>
      <c r="C21" s="421">
        <v>0.15</v>
      </c>
      <c r="D21" s="424"/>
      <c r="E21" s="442">
        <f>($E$8+$E$9+$E$10)*C21</f>
        <v>1702.9999999999998</v>
      </c>
      <c r="F21" s="411">
        <f t="shared" si="6"/>
        <v>1702.9999999999998</v>
      </c>
      <c r="G21" s="411">
        <f t="shared" si="6"/>
        <v>1702.9999999999998</v>
      </c>
      <c r="H21" s="411">
        <f t="shared" si="6"/>
        <v>1702.9999999999998</v>
      </c>
      <c r="I21" s="411">
        <f t="shared" si="6"/>
        <v>1702.9999999999998</v>
      </c>
      <c r="J21" s="411">
        <f t="shared" si="6"/>
        <v>1702.9999999999998</v>
      </c>
      <c r="K21" s="411">
        <f t="shared" si="6"/>
        <v>1702.9999999999998</v>
      </c>
      <c r="L21" s="411">
        <f t="shared" si="6"/>
        <v>1702.9999999999998</v>
      </c>
      <c r="M21" s="411">
        <f t="shared" si="6"/>
        <v>1702.9999999999998</v>
      </c>
      <c r="N21" s="411">
        <f t="shared" si="6"/>
        <v>1702.9999999999998</v>
      </c>
      <c r="O21" s="411">
        <f t="shared" si="6"/>
        <v>1702.9999999999998</v>
      </c>
      <c r="P21" s="411">
        <f t="shared" si="6"/>
        <v>1702.9999999999998</v>
      </c>
      <c r="Q21" s="411">
        <f t="shared" si="6"/>
        <v>1702.9999999999998</v>
      </c>
      <c r="R21" s="439">
        <f t="shared" si="5"/>
        <v>20435.999999999996</v>
      </c>
    </row>
    <row r="22" spans="1:18" ht="16" x14ac:dyDescent="0.5">
      <c r="A22" s="430" t="s">
        <v>479</v>
      </c>
      <c r="B22" s="420" t="s">
        <v>473</v>
      </c>
      <c r="C22" s="421">
        <v>0</v>
      </c>
      <c r="D22" s="424"/>
      <c r="E22" s="442">
        <f>($E$8+$E$9+$E$10)*C22</f>
        <v>0</v>
      </c>
      <c r="F22" s="411">
        <f t="shared" si="6"/>
        <v>0</v>
      </c>
      <c r="G22" s="411">
        <f t="shared" si="6"/>
        <v>0</v>
      </c>
      <c r="H22" s="411">
        <f t="shared" si="6"/>
        <v>0</v>
      </c>
      <c r="I22" s="411">
        <f t="shared" si="6"/>
        <v>0</v>
      </c>
      <c r="J22" s="411">
        <f t="shared" si="6"/>
        <v>0</v>
      </c>
      <c r="K22" s="411">
        <f t="shared" si="6"/>
        <v>0</v>
      </c>
      <c r="L22" s="411">
        <f t="shared" si="6"/>
        <v>0</v>
      </c>
      <c r="M22" s="411">
        <f t="shared" si="6"/>
        <v>0</v>
      </c>
      <c r="N22" s="411">
        <f t="shared" si="6"/>
        <v>0</v>
      </c>
      <c r="O22" s="411">
        <f t="shared" si="6"/>
        <v>0</v>
      </c>
      <c r="P22" s="411">
        <f t="shared" si="6"/>
        <v>0</v>
      </c>
      <c r="Q22" s="411">
        <f t="shared" si="6"/>
        <v>0</v>
      </c>
      <c r="R22" s="439">
        <f t="shared" si="5"/>
        <v>0</v>
      </c>
    </row>
    <row r="23" spans="1:18" ht="16" x14ac:dyDescent="0.5">
      <c r="A23" s="428" t="s">
        <v>480</v>
      </c>
      <c r="B23" s="428"/>
      <c r="C23" s="443">
        <f>SUM(C15:C22)</f>
        <v>0.317</v>
      </c>
      <c r="D23" s="406"/>
      <c r="E23" s="440">
        <f>SUM(E15:E22)</f>
        <v>3257.3216666666667</v>
      </c>
      <c r="F23" s="440">
        <f>SUM(F15:F22)</f>
        <v>3257.3216666666667</v>
      </c>
      <c r="G23" s="440">
        <f t="shared" ref="G23:R23" si="7">SUM(G15:G22)</f>
        <v>3257.3216666666667</v>
      </c>
      <c r="H23" s="440">
        <f t="shared" si="7"/>
        <v>3257.3216666666667</v>
      </c>
      <c r="I23" s="440">
        <f t="shared" si="7"/>
        <v>3257.3216666666667</v>
      </c>
      <c r="J23" s="440">
        <f t="shared" si="7"/>
        <v>3257.3216666666667</v>
      </c>
      <c r="K23" s="440">
        <f t="shared" si="7"/>
        <v>3257.3216666666667</v>
      </c>
      <c r="L23" s="440">
        <f t="shared" si="7"/>
        <v>3257.3216666666667</v>
      </c>
      <c r="M23" s="440">
        <f t="shared" si="7"/>
        <v>3257.3216666666667</v>
      </c>
      <c r="N23" s="440">
        <f t="shared" si="7"/>
        <v>3257.3216666666667</v>
      </c>
      <c r="O23" s="440">
        <f t="shared" si="7"/>
        <v>3257.3216666666667</v>
      </c>
      <c r="P23" s="440">
        <f t="shared" si="7"/>
        <v>3257.3216666666667</v>
      </c>
      <c r="Q23" s="440">
        <f t="shared" si="7"/>
        <v>3257.3216666666667</v>
      </c>
      <c r="R23" s="440">
        <f t="shared" si="7"/>
        <v>39087.86</v>
      </c>
    </row>
    <row r="24" spans="1:18" ht="16" x14ac:dyDescent="0.5">
      <c r="A24" s="412"/>
      <c r="B24" s="412"/>
      <c r="C24" s="425"/>
      <c r="D24" s="406"/>
      <c r="E24" s="406"/>
      <c r="F24" s="406"/>
      <c r="G24" s="406"/>
      <c r="H24" s="406"/>
      <c r="I24" s="406"/>
      <c r="J24" s="406"/>
      <c r="K24" s="406"/>
      <c r="L24" s="406"/>
      <c r="M24" s="406"/>
      <c r="N24" s="406"/>
      <c r="O24" s="406"/>
      <c r="P24" s="406"/>
      <c r="Q24" s="406"/>
      <c r="R24" s="406"/>
    </row>
    <row r="25" spans="1:18" ht="16" x14ac:dyDescent="0.5">
      <c r="A25" s="428" t="s">
        <v>481</v>
      </c>
      <c r="B25" s="412"/>
      <c r="C25" s="425"/>
      <c r="D25" s="406"/>
      <c r="E25" s="410">
        <f>E12+E23</f>
        <v>14610.654999999999</v>
      </c>
      <c r="F25" s="410">
        <f t="shared" ref="F25:Q25" si="8">F12+F23</f>
        <v>14610.654999999999</v>
      </c>
      <c r="G25" s="410">
        <f t="shared" si="8"/>
        <v>14610.654999999999</v>
      </c>
      <c r="H25" s="410">
        <f t="shared" si="8"/>
        <v>14610.654999999999</v>
      </c>
      <c r="I25" s="410">
        <f t="shared" si="8"/>
        <v>14610.654999999999</v>
      </c>
      <c r="J25" s="410">
        <f t="shared" si="8"/>
        <v>14610.654999999999</v>
      </c>
      <c r="K25" s="410">
        <f t="shared" si="8"/>
        <v>14610.654999999999</v>
      </c>
      <c r="L25" s="410">
        <f t="shared" si="8"/>
        <v>14610.654999999999</v>
      </c>
      <c r="M25" s="410">
        <f t="shared" si="8"/>
        <v>14610.654999999999</v>
      </c>
      <c r="N25" s="410">
        <f t="shared" si="8"/>
        <v>14610.654999999999</v>
      </c>
      <c r="O25" s="410">
        <f t="shared" si="8"/>
        <v>14610.654999999999</v>
      </c>
      <c r="P25" s="410">
        <f t="shared" si="8"/>
        <v>14610.654999999999</v>
      </c>
      <c r="Q25" s="410">
        <f t="shared" si="8"/>
        <v>14610.654999999999</v>
      </c>
      <c r="R25" s="426">
        <f>R12+R23</f>
        <v>175327.86</v>
      </c>
    </row>
  </sheetData>
  <conditionalFormatting sqref="B8:D11">
    <cfRule type="containsBlanks" dxfId="6" priority="7" stopIfTrue="1">
      <formula>LEN(TRIM(B8))=0</formula>
    </cfRule>
  </conditionalFormatting>
  <conditionalFormatting sqref="F8:Q11">
    <cfRule type="containsBlanks" dxfId="5" priority="6" stopIfTrue="1">
      <formula>LEN(TRIM(F8))=0</formula>
    </cfRule>
  </conditionalFormatting>
  <conditionalFormatting sqref="F15:Q22">
    <cfRule type="containsBlanks" dxfId="4" priority="5">
      <formula>LEN(TRIM(F15))=0</formula>
    </cfRule>
  </conditionalFormatting>
  <conditionalFormatting sqref="F16:Q16">
    <cfRule type="containsBlanks" dxfId="3" priority="4">
      <formula>LEN(TRIM(F16))=0</formula>
    </cfRule>
  </conditionalFormatting>
  <conditionalFormatting sqref="F15:Q15">
    <cfRule type="containsBlanks" dxfId="2" priority="3">
      <formula>LEN(TRIM(F15))=0</formula>
    </cfRule>
  </conditionalFormatting>
  <conditionalFormatting sqref="F16">
    <cfRule type="containsBlanks" dxfId="1" priority="2">
      <formula>LEN(TRIM(F16))=0</formula>
    </cfRule>
  </conditionalFormatting>
  <conditionalFormatting sqref="G16:Q16">
    <cfRule type="containsBlanks" dxfId="0" priority="1">
      <formula>LEN(TRIM(G16))=0</formula>
    </cfRule>
  </conditionalFormatting>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67"/>
  <sheetViews>
    <sheetView topLeftCell="C1" zoomScaleNormal="100" workbookViewId="0">
      <pane ySplit="22" topLeftCell="A23" activePane="bottomLeft" state="frozen"/>
      <selection pane="bottomLeft" activeCell="O14" sqref="M8:O14"/>
    </sheetView>
  </sheetViews>
  <sheetFormatPr defaultColWidth="19.1796875" defaultRowHeight="10.5" x14ac:dyDescent="0.25"/>
  <cols>
    <col min="1" max="1" width="1.81640625" style="49" customWidth="1"/>
    <col min="2" max="2" width="10.7265625" style="49" customWidth="1"/>
    <col min="3" max="3" width="21.26953125" style="49" bestFit="1" customWidth="1"/>
    <col min="4" max="4" width="5.7265625" style="49" bestFit="1" customWidth="1"/>
    <col min="5" max="5" width="6.453125" style="49" bestFit="1" customWidth="1"/>
    <col min="6" max="6" width="2.36328125" style="75" customWidth="1"/>
    <col min="7" max="7" width="15.7265625" style="75" customWidth="1"/>
    <col min="8" max="8" width="7.453125" style="49" bestFit="1" customWidth="1"/>
    <col min="9" max="9" width="6.7265625" style="48" bestFit="1" customWidth="1"/>
    <col min="10" max="10" width="9.6328125" style="48" bestFit="1" customWidth="1"/>
    <col min="11" max="11" width="9.54296875" style="48" customWidth="1"/>
    <col min="12" max="12" width="0.90625" style="75" customWidth="1"/>
    <col min="13" max="16384" width="19.1796875" style="49"/>
  </cols>
  <sheetData>
    <row r="1" spans="2:18" ht="4" customHeight="1" x14ac:dyDescent="0.25"/>
    <row r="2" spans="2:18" ht="14.5" customHeight="1" x14ac:dyDescent="0.25">
      <c r="B2" s="558" t="s">
        <v>391</v>
      </c>
      <c r="C2" s="559"/>
      <c r="D2" s="559"/>
      <c r="E2" s="559"/>
      <c r="F2" s="559"/>
      <c r="G2" s="559"/>
      <c r="H2" s="559"/>
      <c r="I2" s="559"/>
      <c r="J2" s="559"/>
      <c r="K2" s="560"/>
    </row>
    <row r="3" spans="2:18" ht="13" x14ac:dyDescent="0.3">
      <c r="B3" s="337" t="s">
        <v>309</v>
      </c>
      <c r="C3" s="561" t="s">
        <v>423</v>
      </c>
      <c r="D3" s="561"/>
      <c r="E3" s="561"/>
      <c r="F3" s="561"/>
      <c r="G3" s="561"/>
      <c r="H3" s="561"/>
      <c r="I3" s="561"/>
      <c r="J3" s="561"/>
      <c r="K3" s="562"/>
      <c r="L3" s="49"/>
    </row>
    <row r="4" spans="2:18" x14ac:dyDescent="0.25">
      <c r="L4" s="49"/>
    </row>
    <row r="5" spans="2:18" x14ac:dyDescent="0.25">
      <c r="B5" s="563" t="s">
        <v>387</v>
      </c>
      <c r="C5" s="564"/>
      <c r="D5" s="564"/>
      <c r="E5" s="565"/>
      <c r="G5" s="566" t="s">
        <v>344</v>
      </c>
      <c r="H5" s="567"/>
      <c r="I5" s="567"/>
      <c r="J5" s="567"/>
      <c r="K5" s="568"/>
      <c r="L5" s="49"/>
    </row>
    <row r="6" spans="2:18" x14ac:dyDescent="0.25">
      <c r="B6" s="303"/>
      <c r="C6" s="304" t="s">
        <v>353</v>
      </c>
      <c r="D6" s="229">
        <v>25</v>
      </c>
      <c r="E6" s="230" t="s">
        <v>323</v>
      </c>
      <c r="G6" s="226"/>
      <c r="H6" s="227" t="s">
        <v>379</v>
      </c>
      <c r="I6" s="228" t="s">
        <v>381</v>
      </c>
      <c r="J6" s="227" t="s">
        <v>383</v>
      </c>
      <c r="K6" s="312" t="s">
        <v>381</v>
      </c>
      <c r="L6" s="48"/>
      <c r="M6" s="48"/>
      <c r="N6" s="48"/>
      <c r="O6" s="48"/>
      <c r="P6" s="48"/>
      <c r="Q6" s="48"/>
      <c r="R6" s="48"/>
    </row>
    <row r="7" spans="2:18" x14ac:dyDescent="0.25">
      <c r="B7" s="305"/>
      <c r="C7" s="452" t="s">
        <v>521</v>
      </c>
      <c r="D7" s="453">
        <v>0.75</v>
      </c>
      <c r="E7" s="455" t="s">
        <v>522</v>
      </c>
      <c r="G7" s="231" t="s">
        <v>340</v>
      </c>
      <c r="H7" s="232" t="s">
        <v>413</v>
      </c>
      <c r="I7" s="233" t="s">
        <v>382</v>
      </c>
      <c r="J7" s="232" t="s">
        <v>384</v>
      </c>
      <c r="K7" s="313" t="s">
        <v>385</v>
      </c>
      <c r="L7" s="48"/>
      <c r="M7" s="48"/>
      <c r="N7" s="48"/>
      <c r="O7" s="48"/>
      <c r="P7" s="48"/>
      <c r="Q7" s="48"/>
      <c r="R7" s="48"/>
    </row>
    <row r="8" spans="2:18" x14ac:dyDescent="0.25">
      <c r="B8" s="305"/>
      <c r="C8" s="294" t="s">
        <v>364</v>
      </c>
      <c r="D8" s="234">
        <v>18</v>
      </c>
      <c r="E8" s="235" t="s">
        <v>323</v>
      </c>
      <c r="F8" s="244"/>
      <c r="G8" s="236" t="s">
        <v>341</v>
      </c>
      <c r="H8" s="237">
        <f t="shared" ref="H8:H18" si="0">J8/$D$13</f>
        <v>0.65</v>
      </c>
      <c r="I8" s="237">
        <f>$J$8/$D$17</f>
        <v>2.496</v>
      </c>
      <c r="J8" s="238">
        <f>E28</f>
        <v>78</v>
      </c>
      <c r="K8" s="314">
        <f t="shared" ref="K8:K18" si="1">J8*$D$14</f>
        <v>468</v>
      </c>
      <c r="L8" s="48"/>
      <c r="M8" s="535"/>
      <c r="N8" s="535"/>
      <c r="O8" s="535" t="s">
        <v>757</v>
      </c>
      <c r="P8" s="48"/>
      <c r="Q8" s="48"/>
      <c r="R8" s="48"/>
    </row>
    <row r="9" spans="2:18" x14ac:dyDescent="0.25">
      <c r="B9" s="305"/>
      <c r="C9" s="294" t="s">
        <v>365</v>
      </c>
      <c r="D9" s="234">
        <v>32</v>
      </c>
      <c r="E9" s="239" t="s">
        <v>323</v>
      </c>
      <c r="G9" s="240" t="s">
        <v>414</v>
      </c>
      <c r="H9" s="241">
        <f t="shared" si="0"/>
        <v>1.8873638888888888</v>
      </c>
      <c r="I9" s="242">
        <f>$J$9/$D$17</f>
        <v>7.2474773333333333</v>
      </c>
      <c r="J9" s="243">
        <f>$E$24*$D$15</f>
        <v>226.48366666666666</v>
      </c>
      <c r="K9" s="315">
        <f t="shared" si="1"/>
        <v>1358.902</v>
      </c>
      <c r="L9" s="48"/>
      <c r="M9" s="534" t="s">
        <v>502</v>
      </c>
      <c r="N9" s="244">
        <v>7344</v>
      </c>
      <c r="P9" s="48"/>
      <c r="Q9" s="48"/>
      <c r="R9" s="48"/>
    </row>
    <row r="10" spans="2:18" x14ac:dyDescent="0.25">
      <c r="B10" s="305"/>
      <c r="C10" s="294" t="s">
        <v>367</v>
      </c>
      <c r="D10" s="234">
        <v>14</v>
      </c>
      <c r="E10" s="235" t="s">
        <v>323</v>
      </c>
      <c r="F10" s="244"/>
      <c r="G10" s="245" t="s">
        <v>372</v>
      </c>
      <c r="H10" s="246">
        <f t="shared" si="0"/>
        <v>1.5728032407407406</v>
      </c>
      <c r="I10" s="247">
        <f>$J$10/$D$17</f>
        <v>6.0395644444444443</v>
      </c>
      <c r="J10" s="248">
        <f>SUM(J11:J14)</f>
        <v>188.73638888888888</v>
      </c>
      <c r="K10" s="316">
        <f t="shared" si="1"/>
        <v>1132.4183333333333</v>
      </c>
      <c r="L10" s="48"/>
      <c r="M10" s="534" t="s">
        <v>503</v>
      </c>
      <c r="N10" s="244">
        <v>18259.560719999998</v>
      </c>
      <c r="O10" s="75"/>
      <c r="P10" s="48"/>
      <c r="Q10" s="48"/>
      <c r="R10" s="48"/>
    </row>
    <row r="11" spans="2:18" x14ac:dyDescent="0.25">
      <c r="B11" s="305"/>
      <c r="C11" s="294" t="s">
        <v>366</v>
      </c>
      <c r="D11" s="234">
        <v>25</v>
      </c>
      <c r="E11" s="239" t="s">
        <v>323</v>
      </c>
      <c r="G11" s="249" t="s">
        <v>408</v>
      </c>
      <c r="H11" s="250">
        <f t="shared" si="0"/>
        <v>0.65</v>
      </c>
      <c r="I11" s="250">
        <f>$J$11/$D$17</f>
        <v>2.496</v>
      </c>
      <c r="J11" s="251">
        <f>E27</f>
        <v>78</v>
      </c>
      <c r="K11" s="317">
        <f t="shared" si="1"/>
        <v>468</v>
      </c>
      <c r="L11" s="49"/>
      <c r="M11" s="534" t="s">
        <v>507</v>
      </c>
      <c r="N11" s="244">
        <v>5044.616</v>
      </c>
      <c r="O11" s="75">
        <f>N11*H20</f>
        <v>1737.3440380542527</v>
      </c>
    </row>
    <row r="12" spans="2:18" x14ac:dyDescent="0.25">
      <c r="B12" s="305"/>
      <c r="C12" s="294" t="s">
        <v>388</v>
      </c>
      <c r="D12" s="252">
        <v>0</v>
      </c>
      <c r="E12" s="253"/>
      <c r="G12" s="249" t="s">
        <v>361</v>
      </c>
      <c r="H12" s="250">
        <f t="shared" si="0"/>
        <v>0.5330462962962963</v>
      </c>
      <c r="I12" s="250">
        <f>$J$12/$D$17</f>
        <v>2.0468977777777777</v>
      </c>
      <c r="J12" s="251">
        <f>E52</f>
        <v>63.965555555555554</v>
      </c>
      <c r="K12" s="317">
        <f t="shared" si="1"/>
        <v>383.79333333333329</v>
      </c>
      <c r="L12" s="49"/>
      <c r="M12" s="534" t="s">
        <v>506</v>
      </c>
      <c r="N12" s="244">
        <v>1181.4399999999998</v>
      </c>
    </row>
    <row r="13" spans="2:18" x14ac:dyDescent="0.25">
      <c r="B13" s="249"/>
      <c r="C13" s="294" t="s">
        <v>356</v>
      </c>
      <c r="D13" s="254">
        <f>SUM(C29:C43)*(1-$D$12)</f>
        <v>120</v>
      </c>
      <c r="E13" s="255" t="s">
        <v>21</v>
      </c>
      <c r="G13" s="249" t="s">
        <v>362</v>
      </c>
      <c r="H13" s="250">
        <f t="shared" si="0"/>
        <v>0.32986111111111105</v>
      </c>
      <c r="I13" s="250">
        <f>$J$13/$D$17</f>
        <v>1.2666666666666666</v>
      </c>
      <c r="J13" s="251">
        <f>E65</f>
        <v>39.583333333333329</v>
      </c>
      <c r="K13" s="317">
        <f t="shared" si="1"/>
        <v>237.49999999999997</v>
      </c>
      <c r="L13" s="49"/>
      <c r="M13" s="534" t="s">
        <v>508</v>
      </c>
      <c r="N13" s="244">
        <v>2974.9759999999992</v>
      </c>
    </row>
    <row r="14" spans="2:18" x14ac:dyDescent="0.25">
      <c r="B14" s="249"/>
      <c r="C14" s="294" t="s">
        <v>337</v>
      </c>
      <c r="D14" s="259">
        <v>6</v>
      </c>
      <c r="E14" s="253"/>
      <c r="G14" s="256" t="s">
        <v>363</v>
      </c>
      <c r="H14" s="257">
        <f t="shared" si="0"/>
        <v>5.9895833333333336E-2</v>
      </c>
      <c r="I14" s="257">
        <f>$J$14/$D$17</f>
        <v>0.23</v>
      </c>
      <c r="J14" s="258">
        <f>E45</f>
        <v>7.1875</v>
      </c>
      <c r="K14" s="318">
        <f t="shared" si="1"/>
        <v>43.125</v>
      </c>
      <c r="L14" s="49"/>
      <c r="M14" s="534" t="s">
        <v>520</v>
      </c>
      <c r="N14" s="244">
        <v>19200</v>
      </c>
    </row>
    <row r="15" spans="2:18" x14ac:dyDescent="0.25">
      <c r="B15" s="305"/>
      <c r="C15" s="294" t="s">
        <v>424</v>
      </c>
      <c r="D15" s="263">
        <v>1.2</v>
      </c>
      <c r="E15" s="239" t="s">
        <v>336</v>
      </c>
      <c r="G15" s="260" t="s">
        <v>373</v>
      </c>
      <c r="H15" s="261">
        <f t="shared" si="0"/>
        <v>0.31456064814814816</v>
      </c>
      <c r="I15" s="261">
        <f>$J$15/$D$17</f>
        <v>1.207912888888889</v>
      </c>
      <c r="J15" s="262">
        <f>J9-J10</f>
        <v>37.747277777777782</v>
      </c>
      <c r="K15" s="319">
        <f t="shared" si="1"/>
        <v>226.48366666666669</v>
      </c>
      <c r="L15" s="49"/>
    </row>
    <row r="16" spans="2:18" x14ac:dyDescent="0.25">
      <c r="B16" s="305"/>
      <c r="C16" s="294" t="s">
        <v>378</v>
      </c>
      <c r="D16" s="266">
        <f xml:space="preserve"> (16/2)*(6/10)*0.8</f>
        <v>3.84</v>
      </c>
      <c r="E16" s="239" t="s">
        <v>21</v>
      </c>
      <c r="G16" s="264" t="s">
        <v>342</v>
      </c>
      <c r="H16" s="246">
        <f t="shared" si="0"/>
        <v>0.86290740740740735</v>
      </c>
      <c r="I16" s="247">
        <f>$J$16/$D$17</f>
        <v>3.3135644444444443</v>
      </c>
      <c r="J16" s="248">
        <f>SUM(E52,E65)</f>
        <v>103.54888888888888</v>
      </c>
      <c r="K16" s="316">
        <f t="shared" si="1"/>
        <v>621.29333333333329</v>
      </c>
      <c r="L16" s="49"/>
    </row>
    <row r="17" spans="2:12" x14ac:dyDescent="0.25">
      <c r="B17" s="360"/>
      <c r="C17" s="361" t="s">
        <v>400</v>
      </c>
      <c r="D17" s="362">
        <f>D13/D16</f>
        <v>31.25</v>
      </c>
      <c r="E17" s="363"/>
      <c r="G17" s="265" t="s">
        <v>352</v>
      </c>
      <c r="H17" s="250">
        <f t="shared" si="0"/>
        <v>0.30166666666666664</v>
      </c>
      <c r="I17" s="364">
        <f>$J$17/$D$17</f>
        <v>1.1583999999999999</v>
      </c>
      <c r="J17" s="251">
        <f>SUM(D53,D66)</f>
        <v>36.199999999999996</v>
      </c>
      <c r="K17" s="317">
        <f t="shared" si="1"/>
        <v>217.2</v>
      </c>
      <c r="L17" s="49"/>
    </row>
    <row r="18" spans="2:12" ht="10.5" customHeight="1" x14ac:dyDescent="0.25">
      <c r="B18" s="298"/>
      <c r="C18" s="377" t="s">
        <v>419</v>
      </c>
      <c r="D18" s="300">
        <f>(D13/0.6)*2</f>
        <v>400</v>
      </c>
      <c r="E18" s="301" t="s">
        <v>420</v>
      </c>
      <c r="G18" s="267" t="s">
        <v>343</v>
      </c>
      <c r="H18" s="257">
        <f t="shared" si="0"/>
        <v>0.56124074074074082</v>
      </c>
      <c r="I18" s="257">
        <f>$J$18/$D$17</f>
        <v>2.1551644444444444</v>
      </c>
      <c r="J18" s="258">
        <f>J16-J17</f>
        <v>67.348888888888894</v>
      </c>
      <c r="K18" s="318">
        <f t="shared" si="1"/>
        <v>404.09333333333336</v>
      </c>
      <c r="L18" s="49"/>
    </row>
    <row r="19" spans="2:12" ht="3" customHeight="1" x14ac:dyDescent="0.25">
      <c r="B19" s="48"/>
      <c r="C19" s="48"/>
      <c r="D19" s="48"/>
      <c r="E19" s="48"/>
      <c r="G19" s="295"/>
      <c r="H19" s="296"/>
      <c r="I19" s="296"/>
      <c r="J19" s="297"/>
      <c r="K19" s="320"/>
      <c r="L19" s="49"/>
    </row>
    <row r="20" spans="2:12" x14ac:dyDescent="0.25">
      <c r="C20" s="49">
        <v>16</v>
      </c>
      <c r="D20" s="49" t="s">
        <v>420</v>
      </c>
      <c r="E20" s="49" t="s">
        <v>421</v>
      </c>
      <c r="G20" s="268" t="s">
        <v>392</v>
      </c>
      <c r="H20" s="359">
        <f>H8/H9</f>
        <v>0.3443956959368667</v>
      </c>
      <c r="I20" s="339"/>
      <c r="J20" s="339"/>
      <c r="K20" s="340"/>
      <c r="L20" s="49"/>
    </row>
    <row r="21" spans="2:12" x14ac:dyDescent="0.25">
      <c r="C21" s="49" t="s">
        <v>422</v>
      </c>
      <c r="D21" s="75">
        <f>I9/C20</f>
        <v>0.45296733333333333</v>
      </c>
      <c r="G21" s="236" t="s">
        <v>374</v>
      </c>
      <c r="H21" s="237">
        <f>J21/$D$13</f>
        <v>0.87580138888888892</v>
      </c>
      <c r="I21" s="237">
        <f>$J$21/$D$17</f>
        <v>3.3630773333333335</v>
      </c>
      <c r="J21" s="238">
        <f>J18+J15</f>
        <v>105.09616666666668</v>
      </c>
      <c r="K21" s="314">
        <f>K18+K15</f>
        <v>630.577</v>
      </c>
      <c r="L21" s="49"/>
    </row>
    <row r="22" spans="2:12" x14ac:dyDescent="0.25">
      <c r="G22" s="321" t="s">
        <v>375</v>
      </c>
      <c r="H22" s="241">
        <f>J22/$D$13</f>
        <v>0.96456064814814824</v>
      </c>
      <c r="I22" s="241">
        <f>$J$22/$D$17</f>
        <v>3.703912888888889</v>
      </c>
      <c r="J22" s="243">
        <f>J8+J15</f>
        <v>115.74727777777778</v>
      </c>
      <c r="K22" s="315">
        <f>K9+K15</f>
        <v>1585.3856666666668</v>
      </c>
      <c r="L22" s="49"/>
    </row>
    <row r="23" spans="2:12" x14ac:dyDescent="0.25">
      <c r="B23" s="325" t="s">
        <v>376</v>
      </c>
      <c r="C23" s="326"/>
      <c r="D23" s="326"/>
      <c r="E23" s="327"/>
      <c r="G23" s="49"/>
      <c r="H23" s="48"/>
      <c r="K23" s="75"/>
      <c r="L23" s="49"/>
    </row>
    <row r="24" spans="2:12" x14ac:dyDescent="0.25">
      <c r="B24" s="323"/>
      <c r="C24" s="324"/>
      <c r="D24" s="302" t="s">
        <v>409</v>
      </c>
      <c r="E24" s="271">
        <f>SUM(E28,E39,E45,E52,E65)</f>
        <v>188.73638888888888</v>
      </c>
      <c r="F24" s="48"/>
      <c r="I24" s="49"/>
      <c r="J24" s="49"/>
      <c r="K24" s="49"/>
      <c r="L24" s="49"/>
    </row>
    <row r="25" spans="2:12" x14ac:dyDescent="0.25">
      <c r="B25" s="322" t="s">
        <v>370</v>
      </c>
      <c r="C25" s="569" t="s">
        <v>266</v>
      </c>
      <c r="D25" s="570"/>
      <c r="E25" s="571"/>
      <c r="F25" s="48"/>
      <c r="I25" s="49"/>
      <c r="J25" s="49"/>
      <c r="K25" s="49"/>
      <c r="L25" s="49"/>
    </row>
    <row r="26" spans="2:12" x14ac:dyDescent="0.25">
      <c r="B26" s="328"/>
      <c r="C26" s="335" t="s">
        <v>368</v>
      </c>
      <c r="D26" s="273" t="s">
        <v>253</v>
      </c>
      <c r="E26" s="344"/>
      <c r="F26" s="76"/>
      <c r="I26" s="49"/>
      <c r="J26" s="49"/>
      <c r="K26" s="49"/>
      <c r="L26" s="49"/>
    </row>
    <row r="27" spans="2:12" x14ac:dyDescent="0.25">
      <c r="B27" s="272"/>
      <c r="C27" s="330"/>
      <c r="D27" s="357" t="s">
        <v>386</v>
      </c>
      <c r="E27" s="310">
        <f>SUM(E28,E39)</f>
        <v>78</v>
      </c>
      <c r="F27" s="76"/>
      <c r="I27" s="49"/>
      <c r="J27" s="49"/>
      <c r="K27" s="49"/>
      <c r="L27" s="49"/>
    </row>
    <row r="28" spans="2:12" x14ac:dyDescent="0.25">
      <c r="B28" s="272"/>
      <c r="C28" s="330"/>
      <c r="D28" s="357" t="s">
        <v>410</v>
      </c>
      <c r="E28" s="310">
        <f>SUM(E29:E37)</f>
        <v>78</v>
      </c>
      <c r="F28" s="48"/>
      <c r="G28" s="76"/>
      <c r="H28" s="75"/>
      <c r="I28" s="49"/>
      <c r="J28" s="49"/>
      <c r="K28" s="49"/>
      <c r="L28" s="306"/>
    </row>
    <row r="29" spans="2:12" x14ac:dyDescent="0.25">
      <c r="B29" s="274" t="s">
        <v>416</v>
      </c>
      <c r="C29" s="274">
        <v>120</v>
      </c>
      <c r="D29" s="275">
        <f>0.65</f>
        <v>0.65</v>
      </c>
      <c r="E29" s="307">
        <f t="shared" ref="E29:E37" si="2">D29*C29</f>
        <v>78</v>
      </c>
      <c r="F29" s="48"/>
      <c r="G29" s="49"/>
      <c r="H29" s="75"/>
      <c r="I29" s="49"/>
      <c r="J29" s="49"/>
      <c r="K29" s="49"/>
      <c r="L29" s="49"/>
    </row>
    <row r="30" spans="2:12" x14ac:dyDescent="0.25">
      <c r="B30" s="274"/>
      <c r="C30" s="274"/>
      <c r="D30" s="275"/>
      <c r="E30" s="307">
        <f t="shared" si="2"/>
        <v>0</v>
      </c>
      <c r="F30" s="48"/>
      <c r="G30" s="77"/>
      <c r="H30" s="75"/>
      <c r="I30" s="49"/>
      <c r="J30" s="49"/>
      <c r="K30" s="49"/>
      <c r="L30" s="49"/>
    </row>
    <row r="31" spans="2:12" x14ac:dyDescent="0.25">
      <c r="B31" s="274"/>
      <c r="C31" s="274"/>
      <c r="D31" s="275"/>
      <c r="E31" s="307">
        <f t="shared" si="2"/>
        <v>0</v>
      </c>
      <c r="F31" s="48"/>
      <c r="G31" s="244"/>
      <c r="H31" s="75"/>
      <c r="I31" s="49"/>
      <c r="J31" s="49"/>
      <c r="K31" s="49"/>
      <c r="L31" s="49"/>
    </row>
    <row r="32" spans="2:12" x14ac:dyDescent="0.25">
      <c r="B32" s="274"/>
      <c r="C32" s="274"/>
      <c r="D32" s="275"/>
      <c r="E32" s="307">
        <f t="shared" si="2"/>
        <v>0</v>
      </c>
      <c r="F32" s="48"/>
      <c r="G32" s="49"/>
      <c r="H32" s="75"/>
      <c r="I32" s="49"/>
      <c r="J32" s="49"/>
      <c r="K32" s="49"/>
      <c r="L32" s="49"/>
    </row>
    <row r="33" spans="2:12" x14ac:dyDescent="0.25">
      <c r="B33" s="274"/>
      <c r="C33" s="274"/>
      <c r="D33" s="275"/>
      <c r="E33" s="307">
        <f t="shared" si="2"/>
        <v>0</v>
      </c>
      <c r="F33" s="48"/>
      <c r="G33" s="77"/>
      <c r="H33" s="75"/>
      <c r="I33" s="49"/>
      <c r="J33" s="49"/>
      <c r="K33" s="49"/>
      <c r="L33" s="49"/>
    </row>
    <row r="34" spans="2:12" x14ac:dyDescent="0.25">
      <c r="B34" s="274"/>
      <c r="C34" s="274"/>
      <c r="D34" s="275"/>
      <c r="E34" s="307">
        <f t="shared" si="2"/>
        <v>0</v>
      </c>
      <c r="F34" s="48"/>
      <c r="G34" s="244"/>
      <c r="H34" s="75"/>
      <c r="I34" s="49"/>
      <c r="J34" s="49"/>
      <c r="K34" s="49"/>
      <c r="L34" s="49"/>
    </row>
    <row r="35" spans="2:12" x14ac:dyDescent="0.25">
      <c r="B35" s="274"/>
      <c r="C35" s="274"/>
      <c r="D35" s="275"/>
      <c r="E35" s="307">
        <f t="shared" si="2"/>
        <v>0</v>
      </c>
      <c r="F35" s="48"/>
      <c r="G35" s="48"/>
      <c r="H35" s="75"/>
      <c r="I35" s="49"/>
      <c r="J35" s="49"/>
      <c r="K35" s="49"/>
      <c r="L35" s="49"/>
    </row>
    <row r="36" spans="2:12" x14ac:dyDescent="0.25">
      <c r="B36" s="274"/>
      <c r="C36" s="274"/>
      <c r="D36" s="275"/>
      <c r="E36" s="307">
        <f t="shared" si="2"/>
        <v>0</v>
      </c>
      <c r="F36" s="48"/>
      <c r="G36" s="76"/>
      <c r="H36" s="75"/>
      <c r="I36" s="49"/>
      <c r="J36" s="49"/>
      <c r="K36" s="49"/>
      <c r="L36" s="49"/>
    </row>
    <row r="37" spans="2:12" x14ac:dyDescent="0.25">
      <c r="B37" s="276"/>
      <c r="C37" s="276"/>
      <c r="D37" s="277"/>
      <c r="E37" s="308">
        <f t="shared" si="2"/>
        <v>0</v>
      </c>
      <c r="F37" s="48"/>
      <c r="G37" s="281"/>
      <c r="H37" s="75"/>
      <c r="I37" s="49"/>
      <c r="J37" s="49"/>
      <c r="K37" s="49"/>
      <c r="L37" s="49"/>
    </row>
    <row r="38" spans="2:12" x14ac:dyDescent="0.25">
      <c r="B38" s="278"/>
      <c r="C38" s="279"/>
      <c r="D38" s="280"/>
      <c r="E38" s="309"/>
      <c r="F38" s="48"/>
      <c r="G38" s="48"/>
      <c r="H38" s="75"/>
      <c r="I38" s="49"/>
      <c r="J38" s="49"/>
      <c r="K38" s="49"/>
      <c r="L38" s="49"/>
    </row>
    <row r="39" spans="2:12" x14ac:dyDescent="0.25">
      <c r="B39" s="272" t="s">
        <v>346</v>
      </c>
      <c r="C39" s="330"/>
      <c r="D39" s="331"/>
      <c r="E39" s="310">
        <f>SUM(E40:E43)</f>
        <v>0</v>
      </c>
      <c r="F39" s="48"/>
      <c r="G39" s="48"/>
      <c r="H39" s="75"/>
      <c r="I39" s="49"/>
      <c r="J39" s="49"/>
      <c r="K39" s="49"/>
      <c r="L39" s="49"/>
    </row>
    <row r="40" spans="2:12" x14ac:dyDescent="0.25">
      <c r="B40" s="282"/>
      <c r="C40" s="274"/>
      <c r="D40" s="275"/>
      <c r="E40" s="307">
        <f t="shared" ref="E40:E43" si="3">D40*C40</f>
        <v>0</v>
      </c>
      <c r="F40" s="48"/>
      <c r="G40" s="48"/>
      <c r="H40" s="75"/>
      <c r="I40" s="49"/>
      <c r="J40" s="49"/>
      <c r="K40" s="49"/>
      <c r="L40" s="49"/>
    </row>
    <row r="41" spans="2:12" x14ac:dyDescent="0.25">
      <c r="B41" s="345"/>
      <c r="C41" s="349"/>
      <c r="D41" s="347"/>
      <c r="E41" s="348">
        <f t="shared" si="3"/>
        <v>0</v>
      </c>
      <c r="F41" s="48"/>
      <c r="G41" s="48"/>
      <c r="H41" s="75"/>
      <c r="I41" s="49"/>
      <c r="J41" s="49"/>
      <c r="K41" s="49"/>
      <c r="L41" s="49"/>
    </row>
    <row r="42" spans="2:12" x14ac:dyDescent="0.25">
      <c r="B42" s="345"/>
      <c r="C42" s="349"/>
      <c r="D42" s="347"/>
      <c r="E42" s="348">
        <f t="shared" si="3"/>
        <v>0</v>
      </c>
      <c r="F42" s="48"/>
      <c r="G42" s="48"/>
      <c r="H42" s="75"/>
      <c r="I42" s="49"/>
      <c r="J42" s="49"/>
      <c r="K42" s="49"/>
      <c r="L42" s="49"/>
    </row>
    <row r="43" spans="2:12" x14ac:dyDescent="0.25">
      <c r="B43" s="283"/>
      <c r="C43" s="276"/>
      <c r="D43" s="277"/>
      <c r="E43" s="308">
        <f t="shared" si="3"/>
        <v>0</v>
      </c>
      <c r="F43" s="48"/>
      <c r="G43" s="76"/>
      <c r="H43" s="75"/>
      <c r="I43" s="49"/>
      <c r="J43" s="49"/>
      <c r="K43" s="49"/>
      <c r="L43" s="49"/>
    </row>
    <row r="44" spans="2:12" x14ac:dyDescent="0.25">
      <c r="B44" s="278"/>
      <c r="C44" s="284"/>
      <c r="D44" s="280"/>
      <c r="E44" s="309"/>
      <c r="F44" s="48"/>
      <c r="G44" s="48"/>
      <c r="H44" s="75"/>
      <c r="I44" s="49"/>
      <c r="J44" s="49"/>
      <c r="K44" s="49"/>
      <c r="L44" s="49"/>
    </row>
    <row r="45" spans="2:12" x14ac:dyDescent="0.25">
      <c r="B45" s="272" t="s">
        <v>310</v>
      </c>
      <c r="C45" s="332"/>
      <c r="D45" s="333"/>
      <c r="E45" s="310">
        <f>SUM(E46:E49)</f>
        <v>7.1875</v>
      </c>
      <c r="F45" s="48"/>
      <c r="G45" s="48"/>
      <c r="H45" s="75"/>
      <c r="I45" s="49"/>
      <c r="J45" s="49"/>
      <c r="K45" s="49"/>
      <c r="L45" s="49"/>
    </row>
    <row r="46" spans="2:12" x14ac:dyDescent="0.25">
      <c r="B46" s="282" t="s">
        <v>330</v>
      </c>
      <c r="C46" s="346">
        <f>$D$17</f>
        <v>31.25</v>
      </c>
      <c r="D46" s="275">
        <v>0.1</v>
      </c>
      <c r="E46" s="307">
        <f>D46*C46</f>
        <v>3.125</v>
      </c>
      <c r="F46" s="48"/>
      <c r="G46" s="76"/>
      <c r="H46" s="75"/>
      <c r="I46" s="49"/>
      <c r="J46" s="49"/>
      <c r="K46" s="49"/>
      <c r="L46" s="49"/>
    </row>
    <row r="47" spans="2:12" x14ac:dyDescent="0.25">
      <c r="B47" s="345" t="s">
        <v>329</v>
      </c>
      <c r="C47" s="346">
        <f>$D$17</f>
        <v>31.25</v>
      </c>
      <c r="D47" s="347">
        <v>0.13</v>
      </c>
      <c r="E47" s="348">
        <f>D47*C47</f>
        <v>4.0625</v>
      </c>
      <c r="F47" s="48"/>
      <c r="G47" s="76"/>
      <c r="H47" s="75"/>
      <c r="I47" s="49"/>
      <c r="J47" s="49"/>
      <c r="K47" s="49"/>
      <c r="L47" s="49"/>
    </row>
    <row r="48" spans="2:12" x14ac:dyDescent="0.25">
      <c r="B48" s="282"/>
      <c r="C48" s="285"/>
      <c r="D48" s="275"/>
      <c r="E48" s="307">
        <f t="shared" ref="E48" si="4">D48*C48</f>
        <v>0</v>
      </c>
      <c r="F48" s="48"/>
      <c r="G48" s="76"/>
      <c r="H48" s="75"/>
      <c r="I48" s="49"/>
      <c r="J48" s="49"/>
      <c r="K48" s="49"/>
      <c r="L48" s="49"/>
    </row>
    <row r="49" spans="2:12" x14ac:dyDescent="0.25">
      <c r="B49" s="283"/>
      <c r="C49" s="286"/>
      <c r="D49" s="277"/>
      <c r="E49" s="308">
        <f>D49*C49</f>
        <v>0</v>
      </c>
      <c r="F49" s="48"/>
      <c r="G49" s="48"/>
      <c r="H49" s="75"/>
      <c r="I49" s="49"/>
      <c r="J49" s="49"/>
      <c r="K49" s="49"/>
      <c r="L49" s="49"/>
    </row>
    <row r="50" spans="2:12" x14ac:dyDescent="0.25">
      <c r="B50" s="278"/>
      <c r="C50" s="284"/>
      <c r="D50" s="280"/>
      <c r="E50" s="309"/>
      <c r="F50" s="48"/>
      <c r="G50" s="48"/>
      <c r="H50" s="75"/>
      <c r="I50" s="49"/>
      <c r="J50" s="49"/>
      <c r="K50" s="49"/>
      <c r="L50" s="49"/>
    </row>
    <row r="51" spans="2:12" x14ac:dyDescent="0.25">
      <c r="B51" s="365" t="s">
        <v>415</v>
      </c>
      <c r="C51" s="292">
        <f>SUM(C53:C63)</f>
        <v>3.4186111111111113</v>
      </c>
      <c r="D51" s="366" t="s">
        <v>320</v>
      </c>
      <c r="E51" s="367" t="s">
        <v>369</v>
      </c>
      <c r="F51" s="48"/>
      <c r="G51" s="76"/>
      <c r="H51" s="75"/>
      <c r="I51" s="49"/>
      <c r="J51" s="49"/>
      <c r="K51" s="49"/>
      <c r="L51" s="49"/>
    </row>
    <row r="52" spans="2:12" x14ac:dyDescent="0.25">
      <c r="B52" s="272" t="s">
        <v>333</v>
      </c>
      <c r="C52" s="332"/>
      <c r="D52" s="288">
        <f>SUM(D53:D63)</f>
        <v>49.770277777777778</v>
      </c>
      <c r="E52" s="310">
        <f>SUM(E53:E63)</f>
        <v>63.965555555555554</v>
      </c>
      <c r="F52" s="48"/>
      <c r="G52" s="76"/>
      <c r="H52" s="75"/>
      <c r="I52" s="49"/>
      <c r="J52" s="49"/>
      <c r="K52" s="49"/>
      <c r="L52" s="49"/>
    </row>
    <row r="53" spans="2:12" x14ac:dyDescent="0.25">
      <c r="B53" s="282" t="s">
        <v>417</v>
      </c>
      <c r="C53" s="293">
        <f>2*$D$13/300</f>
        <v>0.8</v>
      </c>
      <c r="D53" s="289">
        <f t="shared" ref="D53:D60" si="5">C53*$D$10</f>
        <v>11.200000000000001</v>
      </c>
      <c r="E53" s="307">
        <f t="shared" ref="E53:E60" si="6">C53*$D$8</f>
        <v>14.4</v>
      </c>
      <c r="F53" s="48"/>
      <c r="G53" s="48"/>
      <c r="H53" s="75"/>
      <c r="I53" s="49"/>
      <c r="J53" s="49"/>
      <c r="K53" s="49"/>
      <c r="L53" s="49"/>
    </row>
    <row r="54" spans="2:12" x14ac:dyDescent="0.25">
      <c r="B54" s="274" t="s">
        <v>418</v>
      </c>
      <c r="C54" s="293">
        <f>2*$D$13/750</f>
        <v>0.32</v>
      </c>
      <c r="D54" s="289">
        <f t="shared" si="5"/>
        <v>4.4800000000000004</v>
      </c>
      <c r="E54" s="307">
        <f t="shared" si="6"/>
        <v>5.76</v>
      </c>
      <c r="F54" s="48"/>
      <c r="G54" s="48"/>
      <c r="H54" s="75"/>
      <c r="I54" s="49"/>
      <c r="J54" s="49"/>
      <c r="K54" s="49"/>
      <c r="L54" s="49"/>
    </row>
    <row r="55" spans="2:12" x14ac:dyDescent="0.25">
      <c r="B55" s="274" t="s">
        <v>406</v>
      </c>
      <c r="C55" s="293">
        <f>2*(30/60)</f>
        <v>1</v>
      </c>
      <c r="D55" s="289">
        <f t="shared" si="5"/>
        <v>14</v>
      </c>
      <c r="E55" s="307">
        <f t="shared" si="6"/>
        <v>18</v>
      </c>
      <c r="F55" s="48"/>
      <c r="G55" s="48"/>
      <c r="H55" s="75"/>
      <c r="I55" s="75"/>
      <c r="J55" s="49"/>
      <c r="K55" s="49"/>
      <c r="L55" s="49"/>
    </row>
    <row r="56" spans="2:12" x14ac:dyDescent="0.25">
      <c r="B56" s="274" t="s">
        <v>328</v>
      </c>
      <c r="C56" s="293">
        <f>2*(15/60)</f>
        <v>0.5</v>
      </c>
      <c r="D56" s="289">
        <f t="shared" si="5"/>
        <v>7</v>
      </c>
      <c r="E56" s="307">
        <f t="shared" si="6"/>
        <v>9</v>
      </c>
      <c r="F56" s="48"/>
      <c r="G56" s="48"/>
      <c r="H56" s="75"/>
      <c r="I56" s="49"/>
      <c r="J56" s="49"/>
      <c r="K56" s="49"/>
      <c r="L56" s="49"/>
    </row>
    <row r="57" spans="2:12" x14ac:dyDescent="0.25">
      <c r="B57" s="274" t="s">
        <v>407</v>
      </c>
      <c r="C57" s="293">
        <f>2*$D$13/((4.8/10)*60*60)</f>
        <v>0.1388888888888889</v>
      </c>
      <c r="D57" s="289">
        <f t="shared" si="5"/>
        <v>1.9444444444444446</v>
      </c>
      <c r="E57" s="307">
        <f t="shared" si="6"/>
        <v>2.5</v>
      </c>
      <c r="F57" s="48"/>
      <c r="G57" s="48"/>
      <c r="H57" s="75"/>
      <c r="I57" s="49"/>
      <c r="J57" s="49"/>
      <c r="K57" s="49"/>
      <c r="L57" s="49"/>
    </row>
    <row r="58" spans="2:12" x14ac:dyDescent="0.25">
      <c r="B58" s="284" t="s">
        <v>330</v>
      </c>
      <c r="C58" s="293">
        <f>2*$D$13/((4.8/25)*60*60)</f>
        <v>0.34722222222222227</v>
      </c>
      <c r="D58" s="289">
        <f t="shared" si="5"/>
        <v>4.8611111111111116</v>
      </c>
      <c r="E58" s="307">
        <f t="shared" si="6"/>
        <v>6.2500000000000009</v>
      </c>
      <c r="F58" s="48"/>
      <c r="G58" s="48"/>
      <c r="H58" s="75"/>
      <c r="I58" s="49"/>
      <c r="J58" s="49"/>
      <c r="K58" s="49"/>
      <c r="L58" s="49"/>
    </row>
    <row r="59" spans="2:12" x14ac:dyDescent="0.25">
      <c r="B59" s="284" t="s">
        <v>329</v>
      </c>
      <c r="C59" s="358">
        <f>2*$D$13/((4.8/10)*60*60)</f>
        <v>0.1388888888888889</v>
      </c>
      <c r="D59" s="289">
        <f t="shared" si="5"/>
        <v>1.9444444444444446</v>
      </c>
      <c r="E59" s="307">
        <f t="shared" si="6"/>
        <v>2.5</v>
      </c>
      <c r="F59" s="48"/>
      <c r="G59" s="48"/>
      <c r="H59" s="75"/>
      <c r="I59" s="75"/>
      <c r="J59" s="49"/>
      <c r="K59" s="49"/>
      <c r="L59" s="49"/>
    </row>
    <row r="60" spans="2:12" x14ac:dyDescent="0.25">
      <c r="B60" s="284"/>
      <c r="C60" s="358"/>
      <c r="D60" s="289">
        <f t="shared" si="5"/>
        <v>0</v>
      </c>
      <c r="E60" s="307">
        <f t="shared" si="6"/>
        <v>0</v>
      </c>
      <c r="F60" s="48"/>
      <c r="G60" s="48"/>
      <c r="H60" s="75"/>
      <c r="I60" s="49"/>
      <c r="J60" s="49"/>
      <c r="K60" s="49"/>
      <c r="L60" s="49"/>
    </row>
    <row r="61" spans="2:12" x14ac:dyDescent="0.25">
      <c r="B61" s="349"/>
      <c r="C61" s="293"/>
      <c r="D61" s="289">
        <f>C61*$D$8</f>
        <v>0</v>
      </c>
      <c r="E61" s="307">
        <f>D61*C61</f>
        <v>0</v>
      </c>
      <c r="F61" s="48"/>
      <c r="G61" s="48"/>
      <c r="H61" s="75"/>
      <c r="I61" s="49"/>
      <c r="J61" s="49"/>
      <c r="K61" s="49"/>
      <c r="L61" s="49"/>
    </row>
    <row r="62" spans="2:12" x14ac:dyDescent="0.25">
      <c r="B62" s="274"/>
      <c r="C62" s="293"/>
      <c r="D62" s="289">
        <f>C62*$D$8</f>
        <v>0</v>
      </c>
      <c r="E62" s="307">
        <f>D62*C62</f>
        <v>0</v>
      </c>
      <c r="F62" s="48"/>
      <c r="G62" s="48"/>
      <c r="H62" s="75"/>
      <c r="I62" s="49"/>
      <c r="J62" s="49"/>
      <c r="K62" s="49"/>
      <c r="L62" s="49"/>
    </row>
    <row r="63" spans="2:12" x14ac:dyDescent="0.25">
      <c r="B63" s="283" t="s">
        <v>335</v>
      </c>
      <c r="C63" s="358">
        <f>2*$D$17*(10/3600)</f>
        <v>0.1736111111111111</v>
      </c>
      <c r="D63" s="291">
        <f>C63*$D$11</f>
        <v>4.3402777777777777</v>
      </c>
      <c r="E63" s="308">
        <f>C63*$D$9</f>
        <v>5.5555555555555554</v>
      </c>
      <c r="F63" s="280"/>
      <c r="G63" s="48"/>
      <c r="H63" s="48"/>
      <c r="I63" s="75"/>
      <c r="J63" s="49"/>
      <c r="K63" s="49"/>
      <c r="L63" s="49"/>
    </row>
    <row r="64" spans="2:12" x14ac:dyDescent="0.25">
      <c r="B64" s="278"/>
      <c r="C64" s="356"/>
      <c r="D64" s="280"/>
      <c r="E64" s="309"/>
      <c r="F64" s="280"/>
      <c r="L64" s="49"/>
    </row>
    <row r="65" spans="2:18" x14ac:dyDescent="0.25">
      <c r="B65" s="272" t="s">
        <v>362</v>
      </c>
      <c r="C65" s="334"/>
      <c r="D65" s="288">
        <f>SUM(D66:D75)</f>
        <v>29.687499999999996</v>
      </c>
      <c r="E65" s="310">
        <f>SUM(E66:E75)</f>
        <v>39.583333333333329</v>
      </c>
    </row>
    <row r="66" spans="2:18" s="75" customFormat="1" x14ac:dyDescent="0.25">
      <c r="B66" s="274" t="s">
        <v>322</v>
      </c>
      <c r="C66" s="293">
        <f xml:space="preserve"> 1*8/6</f>
        <v>1.3333333333333333</v>
      </c>
      <c r="D66" s="289">
        <f>$D$6*C66*$D$7</f>
        <v>24.999999999999996</v>
      </c>
      <c r="E66" s="307">
        <f>$D$6*C66</f>
        <v>33.333333333333329</v>
      </c>
      <c r="H66" s="49"/>
      <c r="I66" s="48"/>
      <c r="J66" s="48"/>
      <c r="K66" s="48"/>
      <c r="M66" s="49"/>
      <c r="N66" s="49"/>
      <c r="O66" s="49"/>
      <c r="P66" s="49"/>
      <c r="Q66" s="49"/>
      <c r="R66" s="49"/>
    </row>
    <row r="67" spans="2:18" s="75" customFormat="1" x14ac:dyDescent="0.25">
      <c r="B67" s="276" t="s">
        <v>328</v>
      </c>
      <c r="C67" s="290">
        <v>0.25</v>
      </c>
      <c r="D67" s="291">
        <f>$D$6*C67*$D$7</f>
        <v>4.6875</v>
      </c>
      <c r="E67" s="308">
        <f>$D$6*C67</f>
        <v>6.25</v>
      </c>
      <c r="H67" s="49"/>
      <c r="I67" s="48"/>
      <c r="J67" s="48"/>
      <c r="K67" s="48"/>
      <c r="M67" s="49"/>
      <c r="N67" s="49"/>
      <c r="O67" s="49"/>
      <c r="P67" s="49"/>
      <c r="Q67" s="49"/>
      <c r="R67" s="49"/>
    </row>
  </sheetData>
  <mergeCells count="5">
    <mergeCell ref="B2:K2"/>
    <mergeCell ref="C3:K3"/>
    <mergeCell ref="B5:E5"/>
    <mergeCell ref="G5:K5"/>
    <mergeCell ref="C25:E25"/>
  </mergeCells>
  <pageMargins left="0.45" right="0.2" top="0.5" bottom="0.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67"/>
  <sheetViews>
    <sheetView zoomScaleNormal="100" workbookViewId="0">
      <pane ySplit="22" topLeftCell="A23" activePane="bottomLeft" state="frozen"/>
      <selection pane="bottomLeft" activeCell="O21" sqref="O21"/>
    </sheetView>
  </sheetViews>
  <sheetFormatPr defaultColWidth="19.1796875" defaultRowHeight="10.5" x14ac:dyDescent="0.25"/>
  <cols>
    <col min="1" max="1" width="1.81640625" style="49" customWidth="1"/>
    <col min="2" max="2" width="10.7265625" style="49" customWidth="1"/>
    <col min="3" max="3" width="21.26953125" style="49" bestFit="1" customWidth="1"/>
    <col min="4" max="4" width="5.7265625" style="49" bestFit="1" customWidth="1"/>
    <col min="5" max="5" width="6.453125" style="49" bestFit="1" customWidth="1"/>
    <col min="6" max="6" width="2.36328125" style="75" customWidth="1"/>
    <col min="7" max="7" width="15.7265625" style="75" customWidth="1"/>
    <col min="8" max="8" width="7.453125" style="49" bestFit="1" customWidth="1"/>
    <col min="9" max="9" width="6.7265625" style="48" bestFit="1" customWidth="1"/>
    <col min="10" max="10" width="9.6328125" style="48" bestFit="1" customWidth="1"/>
    <col min="11" max="11" width="9.54296875" style="48" customWidth="1"/>
    <col min="12" max="12" width="0.90625" style="75" customWidth="1"/>
    <col min="13" max="16384" width="19.1796875" style="49"/>
  </cols>
  <sheetData>
    <row r="1" spans="2:18" ht="4" customHeight="1" x14ac:dyDescent="0.25"/>
    <row r="2" spans="2:18" ht="14.5" customHeight="1" x14ac:dyDescent="0.25">
      <c r="B2" s="558" t="s">
        <v>391</v>
      </c>
      <c r="C2" s="559"/>
      <c r="D2" s="559"/>
      <c r="E2" s="559"/>
      <c r="F2" s="559"/>
      <c r="G2" s="559"/>
      <c r="H2" s="559"/>
      <c r="I2" s="559"/>
      <c r="J2" s="559"/>
      <c r="K2" s="560"/>
    </row>
    <row r="3" spans="2:18" ht="13" x14ac:dyDescent="0.3">
      <c r="B3" s="337" t="s">
        <v>309</v>
      </c>
      <c r="C3" s="561" t="s">
        <v>411</v>
      </c>
      <c r="D3" s="561"/>
      <c r="E3" s="561"/>
      <c r="F3" s="561"/>
      <c r="G3" s="561"/>
      <c r="H3" s="561"/>
      <c r="I3" s="561"/>
      <c r="J3" s="561"/>
      <c r="K3" s="562"/>
      <c r="L3" s="49"/>
    </row>
    <row r="4" spans="2:18" x14ac:dyDescent="0.25">
      <c r="L4" s="49"/>
    </row>
    <row r="5" spans="2:18" x14ac:dyDescent="0.25">
      <c r="B5" s="563" t="s">
        <v>387</v>
      </c>
      <c r="C5" s="564"/>
      <c r="D5" s="564"/>
      <c r="E5" s="565"/>
      <c r="G5" s="566" t="s">
        <v>344</v>
      </c>
      <c r="H5" s="567"/>
      <c r="I5" s="567"/>
      <c r="J5" s="567"/>
      <c r="K5" s="568"/>
      <c r="L5" s="49"/>
    </row>
    <row r="6" spans="2:18" x14ac:dyDescent="0.25">
      <c r="B6" s="303"/>
      <c r="C6" s="304" t="s">
        <v>353</v>
      </c>
      <c r="D6" s="229">
        <v>25</v>
      </c>
      <c r="E6" s="230" t="s">
        <v>323</v>
      </c>
      <c r="G6" s="226"/>
      <c r="H6" s="227" t="s">
        <v>379</v>
      </c>
      <c r="I6" s="228" t="s">
        <v>381</v>
      </c>
      <c r="J6" s="227" t="s">
        <v>383</v>
      </c>
      <c r="K6" s="312" t="s">
        <v>381</v>
      </c>
      <c r="L6" s="48"/>
      <c r="M6" s="48"/>
      <c r="N6" s="48"/>
      <c r="O6" s="48"/>
      <c r="P6" s="48"/>
      <c r="Q6" s="48"/>
      <c r="R6" s="48"/>
    </row>
    <row r="7" spans="2:18" x14ac:dyDescent="0.25">
      <c r="B7" s="305"/>
      <c r="C7" s="452" t="s">
        <v>521</v>
      </c>
      <c r="D7" s="453">
        <v>0.75</v>
      </c>
      <c r="E7" s="455" t="s">
        <v>522</v>
      </c>
      <c r="G7" s="231" t="s">
        <v>340</v>
      </c>
      <c r="H7" s="232" t="s">
        <v>413</v>
      </c>
      <c r="I7" s="233" t="s">
        <v>382</v>
      </c>
      <c r="J7" s="232" t="s">
        <v>384</v>
      </c>
      <c r="K7" s="313" t="s">
        <v>385</v>
      </c>
      <c r="L7" s="48"/>
      <c r="M7" s="48"/>
      <c r="N7" s="48"/>
      <c r="O7" s="48"/>
      <c r="P7" s="48"/>
      <c r="Q7" s="48"/>
      <c r="R7" s="48"/>
    </row>
    <row r="8" spans="2:18" x14ac:dyDescent="0.25">
      <c r="B8" s="305"/>
      <c r="C8" s="294" t="s">
        <v>364</v>
      </c>
      <c r="D8" s="234">
        <v>18</v>
      </c>
      <c r="E8" s="235" t="s">
        <v>323</v>
      </c>
      <c r="F8" s="244"/>
      <c r="G8" s="236" t="s">
        <v>341</v>
      </c>
      <c r="H8" s="237">
        <f t="shared" ref="H8:H18" si="0">J8/$D$13</f>
        <v>1.4080459770114944</v>
      </c>
      <c r="I8" s="237">
        <f>$J$8/$D$17</f>
        <v>3.5201149425287359</v>
      </c>
      <c r="J8" s="238">
        <f>E28</f>
        <v>140.875</v>
      </c>
      <c r="K8" s="314">
        <f t="shared" ref="K8:K18" si="1">J8*$D$14</f>
        <v>845.25</v>
      </c>
      <c r="L8" s="48"/>
      <c r="M8" s="535"/>
      <c r="N8" s="535"/>
      <c r="O8" s="535" t="s">
        <v>757</v>
      </c>
      <c r="P8" s="48"/>
      <c r="Q8" s="48"/>
      <c r="R8" s="48"/>
    </row>
    <row r="9" spans="2:18" x14ac:dyDescent="0.25">
      <c r="B9" s="305"/>
      <c r="C9" s="294" t="s">
        <v>365</v>
      </c>
      <c r="D9" s="234">
        <v>32</v>
      </c>
      <c r="E9" s="239" t="s">
        <v>323</v>
      </c>
      <c r="G9" s="240" t="s">
        <v>414</v>
      </c>
      <c r="H9" s="241">
        <f t="shared" si="0"/>
        <v>3.3246378810594703</v>
      </c>
      <c r="I9" s="242">
        <f>$J$9/$D$17</f>
        <v>8.3115947026486765</v>
      </c>
      <c r="J9" s="243">
        <f>$E$24*$D$15</f>
        <v>332.63002</v>
      </c>
      <c r="K9" s="315">
        <f t="shared" si="1"/>
        <v>1995.7801199999999</v>
      </c>
      <c r="L9" s="48"/>
      <c r="M9" s="534" t="s">
        <v>502</v>
      </c>
      <c r="N9" s="244">
        <v>7344</v>
      </c>
      <c r="P9" s="48"/>
      <c r="Q9" s="48"/>
      <c r="R9" s="48"/>
    </row>
    <row r="10" spans="2:18" x14ac:dyDescent="0.25">
      <c r="B10" s="305"/>
      <c r="C10" s="294" t="s">
        <v>367</v>
      </c>
      <c r="D10" s="234">
        <v>14</v>
      </c>
      <c r="E10" s="235" t="s">
        <v>323</v>
      </c>
      <c r="F10" s="244"/>
      <c r="G10" s="245" t="s">
        <v>372</v>
      </c>
      <c r="H10" s="246">
        <f t="shared" si="0"/>
        <v>2.7705315675495585</v>
      </c>
      <c r="I10" s="247">
        <f>$J$10/$D$17</f>
        <v>6.9263289188738977</v>
      </c>
      <c r="J10" s="248">
        <f>SUM(J11:J14)</f>
        <v>277.19168333333334</v>
      </c>
      <c r="K10" s="316">
        <f t="shared" si="1"/>
        <v>1663.1501000000001</v>
      </c>
      <c r="L10" s="48"/>
      <c r="M10" s="534" t="s">
        <v>503</v>
      </c>
      <c r="N10" s="244">
        <v>18259.560719999998</v>
      </c>
      <c r="O10" s="75">
        <f>N10*H20</f>
        <v>7733.2635714299022</v>
      </c>
      <c r="P10" s="48"/>
      <c r="Q10" s="48"/>
      <c r="R10" s="48"/>
    </row>
    <row r="11" spans="2:18" x14ac:dyDescent="0.25">
      <c r="B11" s="305"/>
      <c r="C11" s="294" t="s">
        <v>366</v>
      </c>
      <c r="D11" s="234">
        <v>25</v>
      </c>
      <c r="E11" s="239" t="s">
        <v>323</v>
      </c>
      <c r="G11" s="249" t="s">
        <v>408</v>
      </c>
      <c r="H11" s="250">
        <f t="shared" si="0"/>
        <v>1.4080459770114944</v>
      </c>
      <c r="I11" s="250">
        <f>$J$11/$D$17</f>
        <v>3.5201149425287359</v>
      </c>
      <c r="J11" s="251">
        <f>E27</f>
        <v>140.875</v>
      </c>
      <c r="K11" s="317">
        <f t="shared" si="1"/>
        <v>845.25</v>
      </c>
      <c r="L11" s="49"/>
      <c r="M11" s="534" t="s">
        <v>507</v>
      </c>
      <c r="N11" s="244">
        <v>5044.616</v>
      </c>
    </row>
    <row r="12" spans="2:18" x14ac:dyDescent="0.25">
      <c r="B12" s="305"/>
      <c r="C12" s="294" t="s">
        <v>388</v>
      </c>
      <c r="D12" s="252">
        <v>0.13</v>
      </c>
      <c r="E12" s="253"/>
      <c r="G12" s="249" t="s">
        <v>361</v>
      </c>
      <c r="H12" s="250">
        <f t="shared" si="0"/>
        <v>0.95814176245210725</v>
      </c>
      <c r="I12" s="250">
        <f>$J$12/$D$17</f>
        <v>2.3953544061302683</v>
      </c>
      <c r="J12" s="251">
        <f>E52</f>
        <v>95.862083333333331</v>
      </c>
      <c r="K12" s="317">
        <f t="shared" si="1"/>
        <v>575.17250000000001</v>
      </c>
      <c r="L12" s="49"/>
      <c r="M12" s="534" t="s">
        <v>506</v>
      </c>
      <c r="N12" s="244">
        <v>1181.4399999999998</v>
      </c>
    </row>
    <row r="13" spans="2:18" x14ac:dyDescent="0.25">
      <c r="B13" s="249"/>
      <c r="C13" s="294" t="s">
        <v>356</v>
      </c>
      <c r="D13" s="254">
        <f>SUM(C29:C43)*(1-$D$12)</f>
        <v>100.05</v>
      </c>
      <c r="E13" s="255" t="s">
        <v>21</v>
      </c>
      <c r="G13" s="249" t="s">
        <v>362</v>
      </c>
      <c r="H13" s="250">
        <f t="shared" si="0"/>
        <v>0.31234382808595701</v>
      </c>
      <c r="I13" s="250">
        <f>$J$13/$D$17</f>
        <v>0.78085957021489261</v>
      </c>
      <c r="J13" s="251">
        <f>E65</f>
        <v>31.25</v>
      </c>
      <c r="K13" s="317">
        <f t="shared" si="1"/>
        <v>187.5</v>
      </c>
      <c r="L13" s="49"/>
      <c r="M13" s="534" t="s">
        <v>508</v>
      </c>
      <c r="N13" s="244">
        <v>2974.9759999999992</v>
      </c>
    </row>
    <row r="14" spans="2:18" x14ac:dyDescent="0.25">
      <c r="B14" s="249"/>
      <c r="C14" s="294" t="s">
        <v>337</v>
      </c>
      <c r="D14" s="259">
        <v>6</v>
      </c>
      <c r="E14" s="253"/>
      <c r="G14" s="256" t="s">
        <v>363</v>
      </c>
      <c r="H14" s="257">
        <f t="shared" si="0"/>
        <v>9.1999999999999998E-2</v>
      </c>
      <c r="I14" s="257">
        <f>$J$14/$D$17</f>
        <v>0.23</v>
      </c>
      <c r="J14" s="258">
        <f>E45</f>
        <v>9.2045999999999992</v>
      </c>
      <c r="K14" s="318">
        <f t="shared" si="1"/>
        <v>55.227599999999995</v>
      </c>
      <c r="L14" s="49"/>
      <c r="M14" s="534" t="s">
        <v>520</v>
      </c>
      <c r="N14" s="244">
        <v>19200</v>
      </c>
      <c r="O14" s="75">
        <f>O10*0.75</f>
        <v>5799.9476785724264</v>
      </c>
    </row>
    <row r="15" spans="2:18" x14ac:dyDescent="0.25">
      <c r="B15" s="305"/>
      <c r="C15" s="294" t="s">
        <v>424</v>
      </c>
      <c r="D15" s="263">
        <v>1.2</v>
      </c>
      <c r="E15" s="239" t="s">
        <v>336</v>
      </c>
      <c r="G15" s="260" t="s">
        <v>373</v>
      </c>
      <c r="H15" s="261">
        <f t="shared" si="0"/>
        <v>0.55410631350991169</v>
      </c>
      <c r="I15" s="261">
        <f>$J$15/$D$17</f>
        <v>1.3852657837747793</v>
      </c>
      <c r="J15" s="262">
        <f>J9-J10</f>
        <v>55.438336666666657</v>
      </c>
      <c r="K15" s="319">
        <f t="shared" si="1"/>
        <v>332.63001999999994</v>
      </c>
      <c r="L15" s="49"/>
    </row>
    <row r="16" spans="2:18" x14ac:dyDescent="0.25">
      <c r="B16" s="305"/>
      <c r="C16" s="294" t="s">
        <v>378</v>
      </c>
      <c r="D16" s="266">
        <v>2.5</v>
      </c>
      <c r="E16" s="239" t="s">
        <v>21</v>
      </c>
      <c r="G16" s="264" t="s">
        <v>342</v>
      </c>
      <c r="H16" s="246">
        <f t="shared" si="0"/>
        <v>1.2704855905380643</v>
      </c>
      <c r="I16" s="247">
        <f>$J$16/$D$17</f>
        <v>3.1762139763451609</v>
      </c>
      <c r="J16" s="248">
        <f>SUM(E52,E65)</f>
        <v>127.11208333333333</v>
      </c>
      <c r="K16" s="316">
        <f t="shared" si="1"/>
        <v>762.67250000000001</v>
      </c>
      <c r="L16" s="49"/>
    </row>
    <row r="17" spans="2:12" x14ac:dyDescent="0.25">
      <c r="B17" s="360"/>
      <c r="C17" s="361" t="s">
        <v>400</v>
      </c>
      <c r="D17" s="362">
        <f>D13/D16</f>
        <v>40.019999999999996</v>
      </c>
      <c r="E17" s="363"/>
      <c r="G17" s="265" t="s">
        <v>352</v>
      </c>
      <c r="H17" s="250">
        <f t="shared" si="0"/>
        <v>0.97966433449941703</v>
      </c>
      <c r="I17" s="364">
        <f>$J$17/$D$17</f>
        <v>2.4491608362485429</v>
      </c>
      <c r="J17" s="251">
        <f>SUM(D52,D65)</f>
        <v>98.015416666666667</v>
      </c>
      <c r="K17" s="317">
        <f t="shared" si="1"/>
        <v>588.09249999999997</v>
      </c>
      <c r="L17" s="49"/>
    </row>
    <row r="18" spans="2:12" ht="10.5" customHeight="1" x14ac:dyDescent="0.25">
      <c r="B18" s="298"/>
      <c r="C18" s="299"/>
      <c r="D18" s="300"/>
      <c r="E18" s="301"/>
      <c r="G18" s="267" t="s">
        <v>343</v>
      </c>
      <c r="H18" s="257">
        <f t="shared" si="0"/>
        <v>0.29082125603864734</v>
      </c>
      <c r="I18" s="257">
        <f>$J$18/$D$17</f>
        <v>0.72705314009661837</v>
      </c>
      <c r="J18" s="258">
        <f>J16-J17</f>
        <v>29.096666666666664</v>
      </c>
      <c r="K18" s="318">
        <f t="shared" si="1"/>
        <v>174.57999999999998</v>
      </c>
      <c r="L18" s="49"/>
    </row>
    <row r="19" spans="2:12" ht="3" customHeight="1" x14ac:dyDescent="0.25">
      <c r="B19" s="48"/>
      <c r="C19" s="48"/>
      <c r="D19" s="48"/>
      <c r="E19" s="48"/>
      <c r="G19" s="295"/>
      <c r="H19" s="296"/>
      <c r="I19" s="296"/>
      <c r="J19" s="297"/>
      <c r="K19" s="320"/>
      <c r="L19" s="49"/>
    </row>
    <row r="20" spans="2:12" x14ac:dyDescent="0.25">
      <c r="G20" s="268" t="s">
        <v>392</v>
      </c>
      <c r="H20" s="359">
        <f>H8/H9</f>
        <v>0.42351859883242049</v>
      </c>
      <c r="I20" s="339"/>
      <c r="J20" s="339"/>
      <c r="K20" s="340"/>
      <c r="L20" s="49"/>
    </row>
    <row r="21" spans="2:12" x14ac:dyDescent="0.25">
      <c r="G21" s="236" t="s">
        <v>374</v>
      </c>
      <c r="H21" s="237">
        <f>J21/$D$13</f>
        <v>0.84492756954855897</v>
      </c>
      <c r="I21" s="237">
        <f>$J$21/$D$17</f>
        <v>2.1123189238713977</v>
      </c>
      <c r="J21" s="238">
        <f>J18+J15</f>
        <v>84.535003333333322</v>
      </c>
      <c r="K21" s="314">
        <f>K18+K15</f>
        <v>507.21001999999993</v>
      </c>
      <c r="L21" s="49"/>
    </row>
    <row r="22" spans="2:12" x14ac:dyDescent="0.25">
      <c r="G22" s="321" t="s">
        <v>375</v>
      </c>
      <c r="H22" s="241">
        <f>J22/$D$13</f>
        <v>1.9621522905214059</v>
      </c>
      <c r="I22" s="241">
        <f>$J$22/$D$17</f>
        <v>4.9053807263035152</v>
      </c>
      <c r="J22" s="243">
        <f>J8+J15</f>
        <v>196.31333666666666</v>
      </c>
      <c r="K22" s="315">
        <f>K9+K15</f>
        <v>2328.41014</v>
      </c>
      <c r="L22" s="49"/>
    </row>
    <row r="23" spans="2:12" x14ac:dyDescent="0.25">
      <c r="B23" s="325" t="s">
        <v>376</v>
      </c>
      <c r="C23" s="326"/>
      <c r="D23" s="326"/>
      <c r="E23" s="327"/>
      <c r="G23" s="49"/>
      <c r="H23" s="48"/>
      <c r="K23" s="75"/>
      <c r="L23" s="49"/>
    </row>
    <row r="24" spans="2:12" x14ac:dyDescent="0.25">
      <c r="B24" s="323"/>
      <c r="C24" s="324"/>
      <c r="D24" s="302" t="s">
        <v>409</v>
      </c>
      <c r="E24" s="271">
        <f>SUM(E28,E39,E45,E52,E65)</f>
        <v>277.19168333333334</v>
      </c>
      <c r="F24" s="48"/>
      <c r="I24" s="49"/>
      <c r="J24" s="49"/>
      <c r="K24" s="49"/>
      <c r="L24" s="49"/>
    </row>
    <row r="25" spans="2:12" x14ac:dyDescent="0.25">
      <c r="B25" s="322" t="s">
        <v>370</v>
      </c>
      <c r="C25" s="569" t="s">
        <v>266</v>
      </c>
      <c r="D25" s="570"/>
      <c r="E25" s="571"/>
      <c r="F25" s="48"/>
      <c r="I25" s="49"/>
      <c r="J25" s="49"/>
      <c r="K25" s="49"/>
      <c r="L25" s="49"/>
    </row>
    <row r="26" spans="2:12" x14ac:dyDescent="0.25">
      <c r="B26" s="328"/>
      <c r="C26" s="335" t="s">
        <v>368</v>
      </c>
      <c r="D26" s="273" t="s">
        <v>253</v>
      </c>
      <c r="E26" s="329"/>
      <c r="F26" s="76"/>
      <c r="I26" s="49"/>
      <c r="J26" s="49"/>
      <c r="K26" s="49"/>
      <c r="L26" s="49"/>
    </row>
    <row r="27" spans="2:12" x14ac:dyDescent="0.25">
      <c r="B27" s="272"/>
      <c r="C27" s="330"/>
      <c r="D27" s="357" t="s">
        <v>386</v>
      </c>
      <c r="E27" s="310">
        <f>SUM(E28,E39)</f>
        <v>140.875</v>
      </c>
      <c r="F27" s="76"/>
      <c r="I27" s="49"/>
      <c r="J27" s="49"/>
      <c r="K27" s="49"/>
      <c r="L27" s="49"/>
    </row>
    <row r="28" spans="2:12" x14ac:dyDescent="0.25">
      <c r="B28" s="272"/>
      <c r="C28" s="330"/>
      <c r="D28" s="357" t="s">
        <v>410</v>
      </c>
      <c r="E28" s="310">
        <f>SUM(E29:E37)</f>
        <v>140.875</v>
      </c>
      <c r="F28" s="48"/>
      <c r="G28" s="76"/>
      <c r="H28" s="75"/>
      <c r="I28" s="49"/>
      <c r="J28" s="49"/>
      <c r="K28" s="49"/>
      <c r="L28" s="306"/>
    </row>
    <row r="29" spans="2:12" x14ac:dyDescent="0.25">
      <c r="B29" s="274" t="s">
        <v>404</v>
      </c>
      <c r="C29" s="274">
        <v>115</v>
      </c>
      <c r="D29" s="275">
        <f>2.45/2</f>
        <v>1.2250000000000001</v>
      </c>
      <c r="E29" s="307">
        <f t="shared" ref="E29:E37" si="2">D29*C29</f>
        <v>140.875</v>
      </c>
      <c r="F29" s="48"/>
      <c r="G29" s="49"/>
      <c r="H29" s="75"/>
      <c r="I29" s="49"/>
      <c r="J29" s="49"/>
      <c r="K29" s="49"/>
      <c r="L29" s="49"/>
    </row>
    <row r="30" spans="2:12" x14ac:dyDescent="0.25">
      <c r="B30" s="274"/>
      <c r="C30" s="274"/>
      <c r="D30" s="275"/>
      <c r="E30" s="307">
        <f t="shared" si="2"/>
        <v>0</v>
      </c>
      <c r="F30" s="48"/>
      <c r="G30" s="77"/>
      <c r="H30" s="75"/>
      <c r="I30" s="49"/>
      <c r="J30" s="49"/>
      <c r="K30" s="49"/>
      <c r="L30" s="49"/>
    </row>
    <row r="31" spans="2:12" x14ac:dyDescent="0.25">
      <c r="B31" s="274"/>
      <c r="C31" s="274"/>
      <c r="D31" s="275"/>
      <c r="E31" s="307">
        <f t="shared" si="2"/>
        <v>0</v>
      </c>
      <c r="F31" s="48"/>
      <c r="G31" s="244"/>
      <c r="H31" s="75"/>
      <c r="I31" s="49"/>
      <c r="J31" s="49"/>
      <c r="K31" s="49"/>
      <c r="L31" s="49"/>
    </row>
    <row r="32" spans="2:12" x14ac:dyDescent="0.25">
      <c r="B32" s="274"/>
      <c r="C32" s="274"/>
      <c r="D32" s="275"/>
      <c r="E32" s="307">
        <f t="shared" si="2"/>
        <v>0</v>
      </c>
      <c r="F32" s="48"/>
      <c r="G32" s="49"/>
      <c r="H32" s="75"/>
      <c r="I32" s="49"/>
      <c r="J32" s="49"/>
      <c r="K32" s="49"/>
      <c r="L32" s="49"/>
    </row>
    <row r="33" spans="2:12" x14ac:dyDescent="0.25">
      <c r="B33" s="274"/>
      <c r="C33" s="274"/>
      <c r="D33" s="275"/>
      <c r="E33" s="307">
        <f t="shared" si="2"/>
        <v>0</v>
      </c>
      <c r="F33" s="48"/>
      <c r="G33" s="77"/>
      <c r="H33" s="75"/>
      <c r="I33" s="49"/>
      <c r="J33" s="49"/>
      <c r="K33" s="49"/>
      <c r="L33" s="49"/>
    </row>
    <row r="34" spans="2:12" x14ac:dyDescent="0.25">
      <c r="B34" s="274"/>
      <c r="C34" s="274"/>
      <c r="D34" s="275"/>
      <c r="E34" s="307">
        <f t="shared" si="2"/>
        <v>0</v>
      </c>
      <c r="F34" s="48"/>
      <c r="G34" s="244"/>
      <c r="H34" s="75"/>
      <c r="I34" s="49"/>
      <c r="J34" s="49"/>
      <c r="K34" s="49"/>
      <c r="L34" s="49"/>
    </row>
    <row r="35" spans="2:12" x14ac:dyDescent="0.25">
      <c r="B35" s="274"/>
      <c r="C35" s="274"/>
      <c r="D35" s="275"/>
      <c r="E35" s="307">
        <f t="shared" si="2"/>
        <v>0</v>
      </c>
      <c r="F35" s="48"/>
      <c r="G35" s="48"/>
      <c r="H35" s="75"/>
      <c r="I35" s="49"/>
      <c r="J35" s="49"/>
      <c r="K35" s="49"/>
      <c r="L35" s="49"/>
    </row>
    <row r="36" spans="2:12" x14ac:dyDescent="0.25">
      <c r="B36" s="274"/>
      <c r="C36" s="274"/>
      <c r="D36" s="275"/>
      <c r="E36" s="307">
        <f t="shared" si="2"/>
        <v>0</v>
      </c>
      <c r="F36" s="48"/>
      <c r="G36" s="76"/>
      <c r="H36" s="75"/>
      <c r="I36" s="49"/>
      <c r="J36" s="49"/>
      <c r="K36" s="49"/>
      <c r="L36" s="49"/>
    </row>
    <row r="37" spans="2:12" x14ac:dyDescent="0.25">
      <c r="B37" s="276"/>
      <c r="C37" s="276"/>
      <c r="D37" s="277"/>
      <c r="E37" s="308">
        <f t="shared" si="2"/>
        <v>0</v>
      </c>
      <c r="F37" s="48"/>
      <c r="G37" s="281"/>
      <c r="H37" s="75"/>
      <c r="I37" s="49"/>
      <c r="J37" s="49"/>
      <c r="K37" s="49"/>
      <c r="L37" s="49"/>
    </row>
    <row r="38" spans="2:12" x14ac:dyDescent="0.25">
      <c r="B38" s="278"/>
      <c r="C38" s="279"/>
      <c r="D38" s="280"/>
      <c r="E38" s="309"/>
      <c r="F38" s="48"/>
      <c r="G38" s="48"/>
      <c r="H38" s="75"/>
      <c r="I38" s="49"/>
      <c r="J38" s="49"/>
      <c r="K38" s="49"/>
      <c r="L38" s="49"/>
    </row>
    <row r="39" spans="2:12" x14ac:dyDescent="0.25">
      <c r="B39" s="272" t="s">
        <v>346</v>
      </c>
      <c r="C39" s="330"/>
      <c r="D39" s="331"/>
      <c r="E39" s="310">
        <f>SUM(E40:E43)</f>
        <v>0</v>
      </c>
      <c r="F39" s="48"/>
      <c r="G39" s="48"/>
      <c r="H39" s="75"/>
      <c r="I39" s="49"/>
      <c r="J39" s="49"/>
      <c r="K39" s="49"/>
      <c r="L39" s="49"/>
    </row>
    <row r="40" spans="2:12" x14ac:dyDescent="0.25">
      <c r="B40" s="282"/>
      <c r="C40" s="274"/>
      <c r="D40" s="275"/>
      <c r="E40" s="307">
        <f t="shared" ref="E40:E43" si="3">D40*C40</f>
        <v>0</v>
      </c>
      <c r="F40" s="48"/>
      <c r="G40" s="48"/>
      <c r="H40" s="75"/>
      <c r="I40" s="49"/>
      <c r="J40" s="49"/>
      <c r="K40" s="49"/>
      <c r="L40" s="49"/>
    </row>
    <row r="41" spans="2:12" x14ac:dyDescent="0.25">
      <c r="B41" s="345"/>
      <c r="C41" s="349"/>
      <c r="D41" s="347"/>
      <c r="E41" s="348">
        <f t="shared" si="3"/>
        <v>0</v>
      </c>
      <c r="F41" s="48"/>
      <c r="G41" s="48"/>
      <c r="H41" s="75"/>
      <c r="I41" s="49"/>
      <c r="J41" s="49"/>
      <c r="K41" s="49"/>
      <c r="L41" s="49"/>
    </row>
    <row r="42" spans="2:12" x14ac:dyDescent="0.25">
      <c r="B42" s="345"/>
      <c r="C42" s="349"/>
      <c r="D42" s="347"/>
      <c r="E42" s="348">
        <f t="shared" si="3"/>
        <v>0</v>
      </c>
      <c r="F42" s="48"/>
      <c r="G42" s="48"/>
      <c r="H42" s="75"/>
      <c r="I42" s="49"/>
      <c r="J42" s="49"/>
      <c r="K42" s="49"/>
      <c r="L42" s="49"/>
    </row>
    <row r="43" spans="2:12" x14ac:dyDescent="0.25">
      <c r="B43" s="283"/>
      <c r="C43" s="276"/>
      <c r="D43" s="277"/>
      <c r="E43" s="308">
        <f t="shared" si="3"/>
        <v>0</v>
      </c>
      <c r="F43" s="48"/>
      <c r="G43" s="76"/>
      <c r="H43" s="75"/>
      <c r="I43" s="49"/>
      <c r="J43" s="49"/>
      <c r="K43" s="49"/>
      <c r="L43" s="49"/>
    </row>
    <row r="44" spans="2:12" x14ac:dyDescent="0.25">
      <c r="B44" s="278"/>
      <c r="C44" s="284"/>
      <c r="D44" s="280"/>
      <c r="E44" s="309"/>
      <c r="F44" s="48"/>
      <c r="G44" s="48"/>
      <c r="H44" s="75"/>
      <c r="I44" s="49"/>
      <c r="J44" s="49"/>
      <c r="K44" s="49"/>
      <c r="L44" s="49"/>
    </row>
    <row r="45" spans="2:12" x14ac:dyDescent="0.25">
      <c r="B45" s="272" t="s">
        <v>310</v>
      </c>
      <c r="C45" s="332"/>
      <c r="D45" s="333"/>
      <c r="E45" s="310">
        <f>SUM(E46:E49)</f>
        <v>9.2045999999999992</v>
      </c>
      <c r="F45" s="48"/>
      <c r="G45" s="48"/>
      <c r="H45" s="75"/>
      <c r="I45" s="49"/>
      <c r="J45" s="49"/>
      <c r="K45" s="49"/>
      <c r="L45" s="49"/>
    </row>
    <row r="46" spans="2:12" x14ac:dyDescent="0.25">
      <c r="B46" s="282" t="s">
        <v>330</v>
      </c>
      <c r="C46" s="346">
        <f>$D$17</f>
        <v>40.019999999999996</v>
      </c>
      <c r="D46" s="275">
        <v>0.1</v>
      </c>
      <c r="E46" s="307">
        <f>D46*C46</f>
        <v>4.0019999999999998</v>
      </c>
      <c r="F46" s="48"/>
      <c r="G46" s="76"/>
      <c r="H46" s="75"/>
      <c r="I46" s="49"/>
      <c r="J46" s="49"/>
      <c r="K46" s="49"/>
      <c r="L46" s="49"/>
    </row>
    <row r="47" spans="2:12" x14ac:dyDescent="0.25">
      <c r="B47" s="345" t="s">
        <v>329</v>
      </c>
      <c r="C47" s="346">
        <f>$D$17</f>
        <v>40.019999999999996</v>
      </c>
      <c r="D47" s="347">
        <v>0.13</v>
      </c>
      <c r="E47" s="348">
        <f>D47*C47</f>
        <v>5.2025999999999994</v>
      </c>
      <c r="F47" s="48"/>
      <c r="G47" s="76"/>
      <c r="H47" s="75"/>
      <c r="I47" s="49"/>
      <c r="J47" s="49"/>
      <c r="K47" s="49"/>
      <c r="L47" s="49"/>
    </row>
    <row r="48" spans="2:12" x14ac:dyDescent="0.25">
      <c r="B48" s="282"/>
      <c r="C48" s="285"/>
      <c r="D48" s="275"/>
      <c r="E48" s="307">
        <f t="shared" ref="E48" si="4">D48*C48</f>
        <v>0</v>
      </c>
      <c r="F48" s="48"/>
      <c r="G48" s="76"/>
      <c r="H48" s="75"/>
      <c r="I48" s="49"/>
      <c r="J48" s="49"/>
      <c r="K48" s="49"/>
      <c r="L48" s="49"/>
    </row>
    <row r="49" spans="2:12" x14ac:dyDescent="0.25">
      <c r="B49" s="283"/>
      <c r="C49" s="286"/>
      <c r="D49" s="277"/>
      <c r="E49" s="308">
        <f>D49*C49</f>
        <v>0</v>
      </c>
      <c r="F49" s="48"/>
      <c r="G49" s="48"/>
      <c r="H49" s="75"/>
      <c r="I49" s="49"/>
      <c r="J49" s="49"/>
      <c r="K49" s="49"/>
      <c r="L49" s="49"/>
    </row>
    <row r="50" spans="2:12" x14ac:dyDescent="0.25">
      <c r="B50" s="278"/>
      <c r="C50" s="284"/>
      <c r="D50" s="280"/>
      <c r="E50" s="309"/>
      <c r="F50" s="48"/>
      <c r="G50" s="48"/>
      <c r="H50" s="75"/>
      <c r="I50" s="49"/>
      <c r="J50" s="49"/>
      <c r="K50" s="49"/>
      <c r="L50" s="49"/>
    </row>
    <row r="51" spans="2:12" x14ac:dyDescent="0.25">
      <c r="B51" s="365" t="s">
        <v>415</v>
      </c>
      <c r="C51" s="292">
        <f>SUM(C53:C63)</f>
        <v>5.1960416666666669</v>
      </c>
      <c r="D51" s="366" t="s">
        <v>320</v>
      </c>
      <c r="E51" s="367" t="s">
        <v>369</v>
      </c>
      <c r="F51" s="48"/>
      <c r="G51" s="76"/>
      <c r="H51" s="75"/>
      <c r="I51" s="49"/>
      <c r="J51" s="49"/>
      <c r="K51" s="49"/>
      <c r="L51" s="49"/>
    </row>
    <row r="52" spans="2:12" x14ac:dyDescent="0.25">
      <c r="B52" s="272" t="s">
        <v>333</v>
      </c>
      <c r="C52" s="332"/>
      <c r="D52" s="288">
        <f>SUM(D53:D63)</f>
        <v>74.577916666666667</v>
      </c>
      <c r="E52" s="310">
        <f>SUM(E53:E63)</f>
        <v>95.862083333333331</v>
      </c>
      <c r="F52" s="48"/>
      <c r="G52" s="76"/>
      <c r="H52" s="75"/>
      <c r="I52" s="49"/>
      <c r="J52" s="49"/>
      <c r="K52" s="49"/>
      <c r="L52" s="49"/>
    </row>
    <row r="53" spans="2:12" x14ac:dyDescent="0.25">
      <c r="B53" s="282" t="s">
        <v>324</v>
      </c>
      <c r="C53" s="293">
        <f>2*((0.125/60))*$D$13</f>
        <v>0.416875</v>
      </c>
      <c r="D53" s="289">
        <f t="shared" ref="D53:D60" si="5">C53*$D$10</f>
        <v>5.8362499999999997</v>
      </c>
      <c r="E53" s="307">
        <f t="shared" ref="E53:E60" si="6">C53*$D$8</f>
        <v>7.5037500000000001</v>
      </c>
      <c r="F53" s="48"/>
      <c r="G53" s="48"/>
      <c r="H53" s="75"/>
      <c r="I53" s="49"/>
      <c r="J53" s="49"/>
      <c r="K53" s="49"/>
      <c r="L53" s="49"/>
    </row>
    <row r="54" spans="2:12" x14ac:dyDescent="0.25">
      <c r="B54" s="355" t="s">
        <v>405</v>
      </c>
      <c r="C54" s="293">
        <f>2*($D$13/15/60)*2</f>
        <v>0.44466666666666665</v>
      </c>
      <c r="D54" s="289">
        <f t="shared" si="5"/>
        <v>6.2253333333333334</v>
      </c>
      <c r="E54" s="307">
        <f t="shared" si="6"/>
        <v>8.0039999999999996</v>
      </c>
      <c r="F54" s="48"/>
      <c r="G54" s="48"/>
      <c r="H54" s="75"/>
      <c r="I54" s="49"/>
      <c r="J54" s="49"/>
      <c r="K54" s="49"/>
      <c r="L54" s="49"/>
    </row>
    <row r="55" spans="2:12" x14ac:dyDescent="0.25">
      <c r="B55" s="274" t="s">
        <v>406</v>
      </c>
      <c r="C55" s="293">
        <f>2*(30/60)</f>
        <v>1</v>
      </c>
      <c r="D55" s="289">
        <f t="shared" si="5"/>
        <v>14</v>
      </c>
      <c r="E55" s="307">
        <f t="shared" si="6"/>
        <v>18</v>
      </c>
      <c r="F55" s="48"/>
      <c r="G55" s="48"/>
      <c r="H55" s="75"/>
      <c r="I55" s="75"/>
      <c r="J55" s="49"/>
      <c r="K55" s="49"/>
      <c r="L55" s="49"/>
    </row>
    <row r="56" spans="2:12" x14ac:dyDescent="0.25">
      <c r="B56" s="274" t="s">
        <v>328</v>
      </c>
      <c r="C56" s="293">
        <f>2*(15/60)</f>
        <v>0.5</v>
      </c>
      <c r="D56" s="289">
        <f t="shared" si="5"/>
        <v>7</v>
      </c>
      <c r="E56" s="307">
        <f t="shared" si="6"/>
        <v>9</v>
      </c>
      <c r="F56" s="48"/>
      <c r="G56" s="48"/>
      <c r="H56" s="75"/>
      <c r="I56" s="49"/>
      <c r="J56" s="49"/>
      <c r="K56" s="49"/>
      <c r="L56" s="49"/>
    </row>
    <row r="57" spans="2:12" x14ac:dyDescent="0.25">
      <c r="B57" s="274" t="s">
        <v>407</v>
      </c>
      <c r="C57" s="293">
        <f>2*(10/60)</f>
        <v>0.33333333333333331</v>
      </c>
      <c r="D57" s="289">
        <f t="shared" si="5"/>
        <v>4.6666666666666661</v>
      </c>
      <c r="E57" s="307">
        <f t="shared" si="6"/>
        <v>6</v>
      </c>
      <c r="F57" s="48"/>
      <c r="G57" s="48"/>
      <c r="H57" s="75"/>
      <c r="I57" s="49"/>
      <c r="J57" s="49"/>
      <c r="K57" s="49"/>
      <c r="L57" s="49"/>
    </row>
    <row r="58" spans="2:12" x14ac:dyDescent="0.25">
      <c r="B58" s="284" t="s">
        <v>330</v>
      </c>
      <c r="C58" s="293">
        <f>2*$D$17*(100/3600)</f>
        <v>2.2233333333333332</v>
      </c>
      <c r="D58" s="289">
        <f t="shared" si="5"/>
        <v>31.126666666666665</v>
      </c>
      <c r="E58" s="307">
        <f t="shared" si="6"/>
        <v>40.019999999999996</v>
      </c>
      <c r="F58" s="48"/>
      <c r="G58" s="48"/>
      <c r="H58" s="75"/>
      <c r="I58" s="49"/>
      <c r="J58" s="49"/>
      <c r="K58" s="49"/>
      <c r="L58" s="49"/>
    </row>
    <row r="59" spans="2:12" x14ac:dyDescent="0.25">
      <c r="B59" s="284" t="s">
        <v>329</v>
      </c>
      <c r="C59" s="358">
        <f>2*$D$17*(5/3600)</f>
        <v>0.11116666666666666</v>
      </c>
      <c r="D59" s="289">
        <f t="shared" si="5"/>
        <v>1.5563333333333333</v>
      </c>
      <c r="E59" s="307">
        <f t="shared" si="6"/>
        <v>2.0009999999999999</v>
      </c>
      <c r="F59" s="48"/>
      <c r="G59" s="48"/>
      <c r="H59" s="75"/>
      <c r="I59" s="75"/>
      <c r="J59" s="49"/>
      <c r="K59" s="49"/>
      <c r="L59" s="49"/>
    </row>
    <row r="60" spans="2:12" x14ac:dyDescent="0.25">
      <c r="B60" s="284"/>
      <c r="C60" s="358"/>
      <c r="D60" s="289">
        <f t="shared" si="5"/>
        <v>0</v>
      </c>
      <c r="E60" s="307">
        <f t="shared" si="6"/>
        <v>0</v>
      </c>
      <c r="F60" s="48"/>
      <c r="G60" s="48"/>
      <c r="H60" s="75"/>
      <c r="I60" s="49"/>
      <c r="J60" s="49"/>
      <c r="K60" s="49"/>
      <c r="L60" s="49"/>
    </row>
    <row r="61" spans="2:12" x14ac:dyDescent="0.25">
      <c r="B61" s="349"/>
      <c r="C61" s="293"/>
      <c r="D61" s="289">
        <f>C61*$D$8</f>
        <v>0</v>
      </c>
      <c r="E61" s="307">
        <f>D61*C61</f>
        <v>0</v>
      </c>
      <c r="F61" s="48"/>
      <c r="G61" s="48"/>
      <c r="H61" s="75"/>
      <c r="I61" s="49"/>
      <c r="J61" s="49"/>
      <c r="K61" s="49"/>
      <c r="L61" s="49"/>
    </row>
    <row r="62" spans="2:12" x14ac:dyDescent="0.25">
      <c r="B62" s="274"/>
      <c r="C62" s="293"/>
      <c r="D62" s="289">
        <f>C62*$D$8</f>
        <v>0</v>
      </c>
      <c r="E62" s="307">
        <f>D62*C62</f>
        <v>0</v>
      </c>
      <c r="F62" s="48"/>
      <c r="G62" s="48"/>
      <c r="H62" s="75"/>
      <c r="I62" s="49"/>
      <c r="J62" s="49"/>
      <c r="K62" s="49"/>
      <c r="L62" s="49"/>
    </row>
    <row r="63" spans="2:12" x14ac:dyDescent="0.25">
      <c r="B63" s="283" t="s">
        <v>335</v>
      </c>
      <c r="C63" s="290">
        <f>0.125*8/6</f>
        <v>0.16666666666666666</v>
      </c>
      <c r="D63" s="291">
        <f>C63*$D$11</f>
        <v>4.1666666666666661</v>
      </c>
      <c r="E63" s="308">
        <f>C63*$D$9</f>
        <v>5.333333333333333</v>
      </c>
      <c r="F63" s="280"/>
      <c r="G63" s="48"/>
      <c r="H63" s="48"/>
      <c r="I63" s="75"/>
      <c r="J63" s="49"/>
      <c r="K63" s="49"/>
      <c r="L63" s="49"/>
    </row>
    <row r="64" spans="2:12" x14ac:dyDescent="0.25">
      <c r="B64" s="278"/>
      <c r="C64" s="356"/>
      <c r="D64" s="280"/>
      <c r="E64" s="309"/>
      <c r="F64" s="280"/>
      <c r="L64" s="49"/>
    </row>
    <row r="65" spans="2:18" x14ac:dyDescent="0.25">
      <c r="B65" s="272" t="s">
        <v>362</v>
      </c>
      <c r="C65" s="334"/>
      <c r="D65" s="288">
        <f>SUM(D66:D75)</f>
        <v>23.4375</v>
      </c>
      <c r="E65" s="310">
        <f>SUM(E66:E75)</f>
        <v>31.25</v>
      </c>
    </row>
    <row r="66" spans="2:18" s="75" customFormat="1" x14ac:dyDescent="0.25">
      <c r="B66" s="274" t="s">
        <v>322</v>
      </c>
      <c r="C66" s="293">
        <v>1</v>
      </c>
      <c r="D66" s="289">
        <f>$D$6*C66*$D$7</f>
        <v>18.75</v>
      </c>
      <c r="E66" s="307">
        <f>$D$6*C66</f>
        <v>25</v>
      </c>
      <c r="H66" s="49"/>
      <c r="I66" s="48"/>
      <c r="J66" s="48"/>
      <c r="K66" s="48"/>
      <c r="M66" s="49"/>
      <c r="N66" s="49"/>
      <c r="O66" s="49"/>
      <c r="P66" s="49"/>
      <c r="Q66" s="49"/>
      <c r="R66" s="49"/>
    </row>
    <row r="67" spans="2:18" s="75" customFormat="1" x14ac:dyDescent="0.25">
      <c r="B67" s="276" t="s">
        <v>328</v>
      </c>
      <c r="C67" s="290">
        <v>0.25</v>
      </c>
      <c r="D67" s="291">
        <f>$D$6*C67*$D$7</f>
        <v>4.6875</v>
      </c>
      <c r="E67" s="308">
        <f>$D$6*C67</f>
        <v>6.25</v>
      </c>
      <c r="H67" s="49"/>
      <c r="I67" s="48"/>
      <c r="J67" s="48"/>
      <c r="K67" s="48"/>
      <c r="M67" s="49"/>
      <c r="N67" s="49"/>
      <c r="O67" s="49"/>
      <c r="P67" s="49"/>
      <c r="Q67" s="49"/>
      <c r="R67" s="49"/>
    </row>
  </sheetData>
  <mergeCells count="5">
    <mergeCell ref="B2:K2"/>
    <mergeCell ref="C3:K3"/>
    <mergeCell ref="B5:E5"/>
    <mergeCell ref="G5:K5"/>
    <mergeCell ref="C25:E25"/>
  </mergeCells>
  <hyperlinks>
    <hyperlink ref="B54" r:id="rId1"/>
  </hyperlinks>
  <pageMargins left="0.45" right="0.2" top="0.5" bottom="0.5" header="0.3" footer="0.3"/>
  <pageSetup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0"/>
  <sheetViews>
    <sheetView topLeftCell="E1" zoomScale="125" zoomScaleNormal="125" workbookViewId="0">
      <selection activeCell="O21" sqref="O21"/>
    </sheetView>
  </sheetViews>
  <sheetFormatPr defaultColWidth="19.1796875" defaultRowHeight="10.5" x14ac:dyDescent="0.25"/>
  <cols>
    <col min="1" max="1" width="1.81640625" style="49" customWidth="1"/>
    <col min="2" max="2" width="10.7265625" style="49" customWidth="1"/>
    <col min="3" max="3" width="21.26953125" style="49" bestFit="1" customWidth="1"/>
    <col min="4" max="4" width="5.7265625" style="49" bestFit="1" customWidth="1"/>
    <col min="5" max="5" width="6.453125" style="49" bestFit="1" customWidth="1"/>
    <col min="6" max="6" width="2.36328125" style="75" customWidth="1"/>
    <col min="7" max="7" width="15.7265625" style="75" customWidth="1"/>
    <col min="8" max="8" width="7.453125" style="49" bestFit="1" customWidth="1"/>
    <col min="9" max="9" width="6.7265625" style="48" bestFit="1" customWidth="1"/>
    <col min="10" max="10" width="9.6328125" style="48" bestFit="1" customWidth="1"/>
    <col min="11" max="11" width="9.54296875" style="48" customWidth="1"/>
    <col min="12" max="12" width="0.90625" style="75" customWidth="1"/>
    <col min="13" max="16384" width="19.1796875" style="49"/>
  </cols>
  <sheetData>
    <row r="1" spans="2:18" ht="4" customHeight="1" x14ac:dyDescent="0.25"/>
    <row r="2" spans="2:18" ht="24.5" customHeight="1" x14ac:dyDescent="0.25">
      <c r="B2" s="558" t="s">
        <v>391</v>
      </c>
      <c r="C2" s="559"/>
      <c r="D2" s="559"/>
      <c r="E2" s="559"/>
      <c r="F2" s="559"/>
      <c r="G2" s="559"/>
      <c r="H2" s="559"/>
      <c r="I2" s="559"/>
      <c r="J2" s="559"/>
      <c r="K2" s="560"/>
    </row>
    <row r="3" spans="2:18" ht="13" x14ac:dyDescent="0.3">
      <c r="B3" s="337" t="s">
        <v>309</v>
      </c>
      <c r="C3" s="561" t="s">
        <v>426</v>
      </c>
      <c r="D3" s="561"/>
      <c r="E3" s="561"/>
      <c r="F3" s="561"/>
      <c r="G3" s="561"/>
      <c r="H3" s="561"/>
      <c r="I3" s="561"/>
      <c r="J3" s="561"/>
      <c r="K3" s="562"/>
      <c r="L3" s="49"/>
    </row>
    <row r="4" spans="2:18" ht="13" x14ac:dyDescent="0.3">
      <c r="B4" s="454"/>
      <c r="E4" s="450"/>
      <c r="F4" s="450"/>
      <c r="G4" s="450"/>
      <c r="H4" s="450"/>
      <c r="I4" s="450"/>
      <c r="J4" s="450"/>
      <c r="K4" s="450"/>
      <c r="L4" s="49"/>
    </row>
    <row r="5" spans="2:18" x14ac:dyDescent="0.25">
      <c r="B5" s="572" t="s">
        <v>387</v>
      </c>
      <c r="C5" s="572"/>
      <c r="D5" s="572"/>
      <c r="E5" s="572"/>
      <c r="G5" s="566" t="s">
        <v>344</v>
      </c>
      <c r="H5" s="567"/>
      <c r="I5" s="567"/>
      <c r="J5" s="567"/>
      <c r="K5" s="568"/>
      <c r="L5" s="49"/>
    </row>
    <row r="6" spans="2:18" x14ac:dyDescent="0.25">
      <c r="B6" s="303"/>
      <c r="C6" s="304" t="s">
        <v>353</v>
      </c>
      <c r="D6" s="229">
        <v>25</v>
      </c>
      <c r="E6" s="230" t="s">
        <v>323</v>
      </c>
      <c r="F6" s="49"/>
      <c r="G6" s="226"/>
      <c r="H6" s="227" t="s">
        <v>379</v>
      </c>
      <c r="I6" s="228" t="s">
        <v>381</v>
      </c>
      <c r="J6" s="227" t="s">
        <v>383</v>
      </c>
      <c r="K6" s="312" t="s">
        <v>381</v>
      </c>
      <c r="L6" s="49"/>
    </row>
    <row r="7" spans="2:18" x14ac:dyDescent="0.25">
      <c r="B7" s="451"/>
      <c r="C7" s="452" t="s">
        <v>521</v>
      </c>
      <c r="D7" s="453">
        <v>0.75</v>
      </c>
      <c r="E7" s="49" t="s">
        <v>522</v>
      </c>
      <c r="G7" s="231" t="s">
        <v>340</v>
      </c>
      <c r="H7" s="232" t="s">
        <v>380</v>
      </c>
      <c r="I7" s="233" t="s">
        <v>382</v>
      </c>
      <c r="J7" s="232" t="s">
        <v>384</v>
      </c>
      <c r="K7" s="313" t="s">
        <v>385</v>
      </c>
      <c r="L7" s="48"/>
      <c r="M7" s="48"/>
      <c r="N7" s="48"/>
      <c r="O7" s="48"/>
      <c r="P7" s="48"/>
      <c r="Q7" s="48"/>
      <c r="R7" s="48"/>
    </row>
    <row r="8" spans="2:18" x14ac:dyDescent="0.25">
      <c r="B8" s="305"/>
      <c r="C8" s="294" t="s">
        <v>364</v>
      </c>
      <c r="D8" s="234">
        <v>18</v>
      </c>
      <c r="E8" s="235" t="s">
        <v>323</v>
      </c>
      <c r="G8" s="236" t="s">
        <v>341</v>
      </c>
      <c r="H8" s="237">
        <f>$J$8/$D$13</f>
        <v>2.348849652220439</v>
      </c>
      <c r="I8" s="237">
        <f>$J$8/$D$17</f>
        <v>0.88081861958266461</v>
      </c>
      <c r="J8" s="238">
        <f>E28</f>
        <v>87.8</v>
      </c>
      <c r="K8" s="314">
        <f t="shared" ref="K8:K18" si="0">J8*$D$14</f>
        <v>351.2</v>
      </c>
      <c r="L8" s="48"/>
      <c r="M8" s="535"/>
      <c r="N8" s="535"/>
      <c r="O8" s="535" t="s">
        <v>757</v>
      </c>
      <c r="P8" s="48"/>
      <c r="Q8" s="48"/>
      <c r="R8" s="48"/>
    </row>
    <row r="9" spans="2:18" x14ac:dyDescent="0.25">
      <c r="B9" s="305"/>
      <c r="C9" s="294" t="s">
        <v>365</v>
      </c>
      <c r="D9" s="234">
        <v>32</v>
      </c>
      <c r="E9" s="239" t="s">
        <v>323</v>
      </c>
      <c r="F9" s="244"/>
      <c r="G9" s="240" t="s">
        <v>389</v>
      </c>
      <c r="H9" s="241">
        <f>$J$9/$D$13</f>
        <v>26.331775280898881</v>
      </c>
      <c r="I9" s="242">
        <f>$J$9/$D$17</f>
        <v>9.8744157303370805</v>
      </c>
      <c r="J9" s="243">
        <f>$E$24*$D$15</f>
        <v>984.28176000000008</v>
      </c>
      <c r="K9" s="315">
        <f t="shared" si="0"/>
        <v>3937.1270400000003</v>
      </c>
      <c r="L9" s="48"/>
      <c r="M9" s="534" t="s">
        <v>502</v>
      </c>
      <c r="N9" s="244">
        <v>7344</v>
      </c>
      <c r="P9" s="48"/>
      <c r="Q9" s="48"/>
      <c r="R9" s="48"/>
    </row>
    <row r="10" spans="2:18" x14ac:dyDescent="0.25">
      <c r="B10" s="305"/>
      <c r="C10" s="294" t="s">
        <v>367</v>
      </c>
      <c r="D10" s="234">
        <v>14</v>
      </c>
      <c r="E10" s="235" t="s">
        <v>323</v>
      </c>
      <c r="G10" s="245" t="s">
        <v>372</v>
      </c>
      <c r="H10" s="246">
        <f>$J$10/$D$13</f>
        <v>9.7388978063135365</v>
      </c>
      <c r="I10" s="247">
        <f>$J$10/$D$17</f>
        <v>3.652086677367576</v>
      </c>
      <c r="J10" s="248">
        <f>SUM(J11:J14)</f>
        <v>364.03999999999996</v>
      </c>
      <c r="K10" s="316">
        <f t="shared" si="0"/>
        <v>1456.1599999999999</v>
      </c>
      <c r="L10" s="48"/>
      <c r="M10" s="534" t="s">
        <v>503</v>
      </c>
      <c r="N10" s="244">
        <v>18259.560719999998</v>
      </c>
      <c r="O10" s="75"/>
      <c r="P10" s="48"/>
      <c r="Q10" s="48"/>
      <c r="R10" s="48"/>
    </row>
    <row r="11" spans="2:18" x14ac:dyDescent="0.25">
      <c r="B11" s="305"/>
      <c r="C11" s="294" t="s">
        <v>366</v>
      </c>
      <c r="D11" s="234">
        <v>25</v>
      </c>
      <c r="E11" s="239" t="s">
        <v>323</v>
      </c>
      <c r="F11" s="244"/>
      <c r="G11" s="249" t="s">
        <v>437</v>
      </c>
      <c r="H11" s="250">
        <f t="shared" ref="H11" si="1">J11/$D$13</f>
        <v>3.0176565008025684</v>
      </c>
      <c r="I11" s="250">
        <f>$J$11/$D$17</f>
        <v>1.1316211878009632</v>
      </c>
      <c r="J11" s="251">
        <f>E28+E39</f>
        <v>112.8</v>
      </c>
      <c r="K11" s="317">
        <f t="shared" si="0"/>
        <v>451.2</v>
      </c>
      <c r="L11" s="48"/>
      <c r="M11" s="534" t="s">
        <v>507</v>
      </c>
      <c r="N11" s="244">
        <v>5044.616</v>
      </c>
      <c r="P11" s="48"/>
      <c r="Q11" s="48"/>
      <c r="R11" s="48"/>
    </row>
    <row r="12" spans="2:18" x14ac:dyDescent="0.25">
      <c r="B12" s="305"/>
      <c r="C12" s="294" t="s">
        <v>388</v>
      </c>
      <c r="D12" s="252">
        <v>0.55500000000000005</v>
      </c>
      <c r="E12" s="253"/>
      <c r="G12" s="249" t="s">
        <v>438</v>
      </c>
      <c r="H12" s="250">
        <f>$J$12/$D$13</f>
        <v>1.828072052791154</v>
      </c>
      <c r="I12" s="250">
        <f>$J$12/$D$17</f>
        <v>0.68552701979668274</v>
      </c>
      <c r="J12" s="251">
        <f>E52</f>
        <v>68.333333333333329</v>
      </c>
      <c r="K12" s="317">
        <f t="shared" si="0"/>
        <v>273.33333333333331</v>
      </c>
      <c r="L12" s="49"/>
      <c r="M12" s="534" t="s">
        <v>506</v>
      </c>
      <c r="N12" s="244">
        <v>1181.4399999999998</v>
      </c>
      <c r="O12" s="75"/>
    </row>
    <row r="13" spans="2:18" x14ac:dyDescent="0.25">
      <c r="B13" s="249"/>
      <c r="C13" s="294" t="s">
        <v>356</v>
      </c>
      <c r="D13" s="254">
        <f>SUM(C29:C43)*(1-$D$12)</f>
        <v>37.379999999999995</v>
      </c>
      <c r="E13" s="255" t="s">
        <v>21</v>
      </c>
      <c r="G13" s="249" t="s">
        <v>439</v>
      </c>
      <c r="H13" s="250">
        <f>$J$13/$D$13</f>
        <v>1.6931692527198146</v>
      </c>
      <c r="I13" s="250">
        <f>$J$13/$D$17</f>
        <v>0.6349384697699304</v>
      </c>
      <c r="J13" s="251">
        <f>E65</f>
        <v>63.29066666666666</v>
      </c>
      <c r="K13" s="317">
        <f t="shared" si="0"/>
        <v>253.16266666666664</v>
      </c>
      <c r="L13" s="49"/>
      <c r="M13" s="534" t="s">
        <v>508</v>
      </c>
      <c r="N13" s="244">
        <v>2974.9759999999992</v>
      </c>
      <c r="O13" s="75">
        <f>N13/H18*H8</f>
        <v>8428.7999999999975</v>
      </c>
    </row>
    <row r="14" spans="2:18" x14ac:dyDescent="0.25">
      <c r="B14" s="249"/>
      <c r="C14" s="294" t="s">
        <v>337</v>
      </c>
      <c r="D14" s="259">
        <v>4</v>
      </c>
      <c r="E14" s="253"/>
      <c r="G14" s="256" t="s">
        <v>440</v>
      </c>
      <c r="H14" s="257">
        <f>$J$14/$D$13</f>
        <v>3.2</v>
      </c>
      <c r="I14" s="257">
        <f>$J$14/$D$17</f>
        <v>1.2</v>
      </c>
      <c r="J14" s="258">
        <f>E45</f>
        <v>119.61599999999999</v>
      </c>
      <c r="K14" s="318">
        <f t="shared" si="0"/>
        <v>478.46399999999994</v>
      </c>
      <c r="L14" s="49"/>
      <c r="M14" s="534" t="s">
        <v>520</v>
      </c>
      <c r="N14" s="244">
        <v>19200</v>
      </c>
    </row>
    <row r="15" spans="2:18" x14ac:dyDescent="0.25">
      <c r="B15" s="305"/>
      <c r="C15" s="294" t="s">
        <v>448</v>
      </c>
      <c r="D15" s="263">
        <v>4.2350000000000003</v>
      </c>
      <c r="E15" s="239" t="s">
        <v>336</v>
      </c>
      <c r="G15" s="260" t="s">
        <v>373</v>
      </c>
      <c r="H15" s="261">
        <f>$J$15/$D$13</f>
        <v>16.592877474585343</v>
      </c>
      <c r="I15" s="261">
        <f>$J$15/$D$17</f>
        <v>6.2223290529695037</v>
      </c>
      <c r="J15" s="262">
        <f>J9-J10</f>
        <v>620.24176000000011</v>
      </c>
      <c r="K15" s="319">
        <f t="shared" si="0"/>
        <v>2480.9670400000005</v>
      </c>
      <c r="L15" s="49"/>
    </row>
    <row r="16" spans="2:18" x14ac:dyDescent="0.25">
      <c r="B16" s="305"/>
      <c r="C16" s="294" t="s">
        <v>378</v>
      </c>
      <c r="D16" s="263">
        <f>6/16</f>
        <v>0.375</v>
      </c>
      <c r="E16" s="239" t="s">
        <v>21</v>
      </c>
      <c r="G16" s="264" t="s">
        <v>342</v>
      </c>
      <c r="H16" s="246">
        <f>$J$16/$D$13</f>
        <v>3.5212413055109688</v>
      </c>
      <c r="I16" s="247">
        <f>$J$16/$D$17</f>
        <v>1.3204654895666132</v>
      </c>
      <c r="J16" s="248">
        <f>SUM(E52,E65)</f>
        <v>131.624</v>
      </c>
      <c r="K16" s="316">
        <f t="shared" si="0"/>
        <v>526.49599999999998</v>
      </c>
      <c r="L16" s="49"/>
    </row>
    <row r="17" spans="2:12" x14ac:dyDescent="0.25">
      <c r="B17" s="305"/>
      <c r="C17" s="294" t="s">
        <v>400</v>
      </c>
      <c r="D17" s="254">
        <f>D13/D16</f>
        <v>99.679999999999993</v>
      </c>
      <c r="E17" s="255" t="s">
        <v>435</v>
      </c>
      <c r="G17" s="265" t="s">
        <v>352</v>
      </c>
      <c r="H17" s="250">
        <f>$J$17/$D$13</f>
        <v>2.6922061708578564</v>
      </c>
      <c r="I17" s="364">
        <f>$J$17/$D$17</f>
        <v>1.0095773140716962</v>
      </c>
      <c r="J17" s="251">
        <f>SUM(D52,D65)</f>
        <v>100.63466666666666</v>
      </c>
      <c r="K17" s="317">
        <f t="shared" si="0"/>
        <v>402.53866666666664</v>
      </c>
      <c r="L17" s="49"/>
    </row>
    <row r="18" spans="2:12" x14ac:dyDescent="0.25">
      <c r="B18" s="305"/>
      <c r="C18" s="294" t="s">
        <v>444</v>
      </c>
      <c r="D18" s="234">
        <v>45</v>
      </c>
      <c r="E18" s="235" t="s">
        <v>262</v>
      </c>
      <c r="G18" s="267" t="s">
        <v>343</v>
      </c>
      <c r="H18" s="257">
        <f>$J$18/$D$13</f>
        <v>0.82903513465311229</v>
      </c>
      <c r="I18" s="257">
        <f>$J$18/$D$17</f>
        <v>0.3108881754949171</v>
      </c>
      <c r="J18" s="258">
        <f>J16-J17</f>
        <v>30.989333333333335</v>
      </c>
      <c r="K18" s="318">
        <f t="shared" si="0"/>
        <v>123.95733333333334</v>
      </c>
      <c r="L18" s="49"/>
    </row>
    <row r="19" spans="2:12" ht="11.5" customHeight="1" x14ac:dyDescent="0.25">
      <c r="B19" s="305"/>
      <c r="C19" s="294" t="s">
        <v>445</v>
      </c>
      <c r="D19" s="234">
        <v>25</v>
      </c>
      <c r="E19" s="235" t="s">
        <v>262</v>
      </c>
      <c r="G19" s="295"/>
      <c r="H19" s="296"/>
      <c r="I19" s="296"/>
      <c r="J19" s="297"/>
      <c r="K19" s="320"/>
      <c r="L19" s="49"/>
    </row>
    <row r="20" spans="2:12" ht="2.5" customHeight="1" x14ac:dyDescent="0.25">
      <c r="B20" s="48"/>
      <c r="C20" s="48"/>
      <c r="D20" s="48"/>
      <c r="E20" s="48"/>
      <c r="G20" s="268" t="s">
        <v>392</v>
      </c>
      <c r="H20" s="341">
        <f>H8/H9</f>
        <v>8.9202100016564354E-2</v>
      </c>
      <c r="I20" s="338"/>
      <c r="J20" s="339"/>
      <c r="K20" s="340"/>
      <c r="L20" s="49"/>
    </row>
    <row r="21" spans="2:12" x14ac:dyDescent="0.25">
      <c r="C21" s="49" t="s">
        <v>433</v>
      </c>
      <c r="G21" s="236" t="s">
        <v>374</v>
      </c>
      <c r="H21" s="237">
        <f>H18+H15</f>
        <v>17.421912609238454</v>
      </c>
      <c r="I21" s="237">
        <f>I18+I15</f>
        <v>6.5332172284644212</v>
      </c>
      <c r="J21" s="238">
        <f>J18+J15</f>
        <v>651.23109333333343</v>
      </c>
      <c r="K21" s="314">
        <f>K18+K15</f>
        <v>2604.9243733333337</v>
      </c>
      <c r="L21" s="49"/>
    </row>
    <row r="22" spans="2:12" x14ac:dyDescent="0.25">
      <c r="C22" s="49" t="s">
        <v>434</v>
      </c>
      <c r="D22" s="49">
        <f>C28/4</f>
        <v>0</v>
      </c>
      <c r="G22" s="321" t="s">
        <v>375</v>
      </c>
      <c r="H22" s="241">
        <f>H8+H15</f>
        <v>18.94172712680578</v>
      </c>
      <c r="I22" s="241">
        <f>I8+I15</f>
        <v>7.1031476725521685</v>
      </c>
      <c r="J22" s="243">
        <f>J8+J15</f>
        <v>708.04176000000007</v>
      </c>
      <c r="K22" s="315">
        <f>K8+K15</f>
        <v>2832.1670400000003</v>
      </c>
      <c r="L22" s="49"/>
    </row>
    <row r="23" spans="2:12" x14ac:dyDescent="0.25">
      <c r="B23" s="573" t="s">
        <v>449</v>
      </c>
      <c r="C23" s="574"/>
      <c r="D23" s="574"/>
      <c r="E23" s="575"/>
      <c r="G23" s="49"/>
      <c r="H23" s="48"/>
      <c r="K23" s="75"/>
      <c r="L23" s="49"/>
    </row>
    <row r="24" spans="2:12" x14ac:dyDescent="0.25">
      <c r="B24" s="323"/>
      <c r="C24" s="324"/>
      <c r="D24" s="302" t="s">
        <v>450</v>
      </c>
      <c r="E24" s="271">
        <f>SUM(E28,E39,E45)</f>
        <v>232.416</v>
      </c>
      <c r="I24" s="49"/>
      <c r="J24" s="49"/>
      <c r="K24" s="49"/>
      <c r="L24" s="49"/>
    </row>
    <row r="25" spans="2:12" x14ac:dyDescent="0.25">
      <c r="B25" s="322" t="s">
        <v>370</v>
      </c>
      <c r="C25" s="569" t="s">
        <v>266</v>
      </c>
      <c r="D25" s="570"/>
      <c r="E25" s="571"/>
      <c r="F25" s="48"/>
      <c r="I25" s="49"/>
      <c r="J25" s="49"/>
      <c r="K25" s="49"/>
      <c r="L25" s="49"/>
    </row>
    <row r="26" spans="2:12" x14ac:dyDescent="0.25">
      <c r="B26" s="328"/>
      <c r="C26" s="335" t="s">
        <v>368</v>
      </c>
      <c r="D26" s="273" t="s">
        <v>253</v>
      </c>
      <c r="E26" s="380"/>
      <c r="F26" s="76"/>
      <c r="I26" s="49"/>
      <c r="J26" s="49"/>
      <c r="K26" s="49"/>
      <c r="L26" s="49"/>
    </row>
    <row r="27" spans="2:12" x14ac:dyDescent="0.25">
      <c r="B27" s="272"/>
      <c r="C27" s="330"/>
      <c r="D27" s="357" t="s">
        <v>386</v>
      </c>
      <c r="E27" s="310">
        <f>SUM(E28,E39)</f>
        <v>112.8</v>
      </c>
      <c r="F27" s="76"/>
      <c r="G27" s="76"/>
      <c r="H27" s="75"/>
      <c r="I27" s="49"/>
      <c r="J27" s="49"/>
      <c r="K27" s="49"/>
      <c r="L27" s="49"/>
    </row>
    <row r="28" spans="2:12" x14ac:dyDescent="0.25">
      <c r="B28" s="272"/>
      <c r="C28" s="330"/>
      <c r="D28" s="357" t="s">
        <v>410</v>
      </c>
      <c r="E28" s="310">
        <f>SUM(E29:E37)</f>
        <v>87.8</v>
      </c>
      <c r="F28" s="48"/>
      <c r="G28" s="49"/>
      <c r="H28" s="75"/>
      <c r="I28" s="49"/>
      <c r="J28" s="49"/>
      <c r="K28" s="49"/>
      <c r="L28" s="306"/>
    </row>
    <row r="29" spans="2:12" x14ac:dyDescent="0.25">
      <c r="B29" s="274" t="s">
        <v>427</v>
      </c>
      <c r="C29" s="274">
        <v>9</v>
      </c>
      <c r="D29" s="275">
        <v>1.2</v>
      </c>
      <c r="E29" s="307">
        <f t="shared" ref="E29:E37" si="2">D29*C29</f>
        <v>10.799999999999999</v>
      </c>
      <c r="F29" s="48"/>
      <c r="G29" s="77"/>
      <c r="H29" s="75"/>
      <c r="I29" s="49"/>
      <c r="J29" s="49"/>
      <c r="K29" s="49"/>
      <c r="L29" s="49"/>
    </row>
    <row r="30" spans="2:12" x14ac:dyDescent="0.25">
      <c r="B30" s="274" t="s">
        <v>428</v>
      </c>
      <c r="C30" s="274">
        <v>9</v>
      </c>
      <c r="D30" s="275">
        <v>0.75</v>
      </c>
      <c r="E30" s="307">
        <f t="shared" si="2"/>
        <v>6.75</v>
      </c>
      <c r="F30" s="48"/>
      <c r="G30" s="244"/>
      <c r="H30" s="75"/>
      <c r="I30" s="49"/>
      <c r="J30" s="49"/>
      <c r="K30" s="49"/>
      <c r="L30" s="49"/>
    </row>
    <row r="31" spans="2:12" x14ac:dyDescent="0.25">
      <c r="B31" s="274" t="s">
        <v>429</v>
      </c>
      <c r="C31" s="274">
        <v>5</v>
      </c>
      <c r="D31" s="275">
        <f>13/4</f>
        <v>3.25</v>
      </c>
      <c r="E31" s="307">
        <f t="shared" si="2"/>
        <v>16.25</v>
      </c>
      <c r="F31" s="48"/>
      <c r="G31" s="49"/>
      <c r="H31" s="75"/>
      <c r="I31" s="49"/>
      <c r="J31" s="49"/>
      <c r="K31" s="49"/>
      <c r="L31" s="49"/>
    </row>
    <row r="32" spans="2:12" x14ac:dyDescent="0.25">
      <c r="B32" s="274" t="s">
        <v>430</v>
      </c>
      <c r="C32" s="274">
        <v>4</v>
      </c>
      <c r="D32" s="275">
        <v>5</v>
      </c>
      <c r="E32" s="307">
        <f t="shared" si="2"/>
        <v>20</v>
      </c>
      <c r="F32" s="48"/>
      <c r="G32" s="77"/>
      <c r="H32" s="75"/>
      <c r="I32" s="49"/>
      <c r="J32" s="49"/>
      <c r="K32" s="49"/>
      <c r="L32" s="49"/>
    </row>
    <row r="33" spans="2:12" x14ac:dyDescent="0.25">
      <c r="B33" s="274" t="s">
        <v>431</v>
      </c>
      <c r="C33" s="274">
        <v>3</v>
      </c>
      <c r="D33" s="275">
        <v>10</v>
      </c>
      <c r="E33" s="307">
        <f t="shared" si="2"/>
        <v>30</v>
      </c>
      <c r="F33" s="48"/>
      <c r="G33" s="244"/>
      <c r="H33" s="75"/>
      <c r="I33" s="49"/>
      <c r="J33" s="49"/>
      <c r="K33" s="49"/>
      <c r="L33" s="49"/>
    </row>
    <row r="34" spans="2:12" x14ac:dyDescent="0.25">
      <c r="B34" s="274" t="s">
        <v>432</v>
      </c>
      <c r="C34" s="274">
        <v>4</v>
      </c>
      <c r="D34" s="275">
        <v>1</v>
      </c>
      <c r="E34" s="307">
        <f t="shared" si="2"/>
        <v>4</v>
      </c>
      <c r="F34" s="48"/>
      <c r="G34" s="48"/>
      <c r="H34" s="75"/>
      <c r="I34" s="49"/>
      <c r="J34" s="49"/>
      <c r="K34" s="49"/>
      <c r="L34" s="49"/>
    </row>
    <row r="35" spans="2:12" x14ac:dyDescent="0.25">
      <c r="B35" s="274"/>
      <c r="C35" s="274"/>
      <c r="D35" s="275"/>
      <c r="E35" s="307">
        <f t="shared" si="2"/>
        <v>0</v>
      </c>
      <c r="F35" s="48"/>
      <c r="G35" s="76"/>
      <c r="H35" s="75"/>
      <c r="I35" s="49"/>
      <c r="J35" s="49"/>
      <c r="K35" s="49"/>
      <c r="L35" s="49"/>
    </row>
    <row r="36" spans="2:12" x14ac:dyDescent="0.25">
      <c r="B36" s="274"/>
      <c r="C36" s="274"/>
      <c r="D36" s="275"/>
      <c r="E36" s="307">
        <f t="shared" si="2"/>
        <v>0</v>
      </c>
      <c r="F36" s="48"/>
      <c r="G36" s="281"/>
      <c r="H36" s="75"/>
      <c r="I36" s="49"/>
      <c r="J36" s="49"/>
      <c r="K36" s="49"/>
      <c r="L36" s="49"/>
    </row>
    <row r="37" spans="2:12" x14ac:dyDescent="0.25">
      <c r="B37" s="276"/>
      <c r="C37" s="276"/>
      <c r="D37" s="277"/>
      <c r="E37" s="308">
        <f t="shared" si="2"/>
        <v>0</v>
      </c>
      <c r="F37" s="48"/>
      <c r="G37" s="48"/>
      <c r="H37" s="75"/>
      <c r="I37" s="49"/>
      <c r="J37" s="49"/>
      <c r="K37" s="49"/>
      <c r="L37" s="49"/>
    </row>
    <row r="38" spans="2:12" x14ac:dyDescent="0.25">
      <c r="B38" s="278"/>
      <c r="C38" s="279"/>
      <c r="D38" s="280"/>
      <c r="E38" s="309"/>
      <c r="F38" s="48"/>
      <c r="G38" s="48"/>
      <c r="H38" s="75"/>
      <c r="I38" s="49"/>
      <c r="J38" s="49"/>
      <c r="K38" s="49"/>
      <c r="L38" s="49"/>
    </row>
    <row r="39" spans="2:12" x14ac:dyDescent="0.25">
      <c r="B39" s="272" t="s">
        <v>346</v>
      </c>
      <c r="C39" s="330"/>
      <c r="D39" s="331"/>
      <c r="E39" s="310">
        <f>SUM(E40:E43)</f>
        <v>25</v>
      </c>
      <c r="F39" s="48"/>
      <c r="G39" s="48"/>
      <c r="H39" s="75"/>
      <c r="I39" s="49"/>
      <c r="J39" s="49"/>
      <c r="K39" s="49"/>
      <c r="L39" s="49"/>
    </row>
    <row r="40" spans="2:12" x14ac:dyDescent="0.25">
      <c r="B40" s="282" t="s">
        <v>436</v>
      </c>
      <c r="C40" s="274">
        <f>0.5*100</f>
        <v>50</v>
      </c>
      <c r="D40" s="275">
        <v>0.5</v>
      </c>
      <c r="E40" s="307">
        <f t="shared" ref="E40:E43" si="3">D40*C40</f>
        <v>25</v>
      </c>
      <c r="F40" s="48"/>
      <c r="G40" s="48"/>
      <c r="H40" s="75"/>
      <c r="I40" s="49"/>
      <c r="J40" s="49"/>
      <c r="K40" s="49"/>
      <c r="L40" s="49"/>
    </row>
    <row r="41" spans="2:12" x14ac:dyDescent="0.25">
      <c r="B41" s="345"/>
      <c r="C41" s="349"/>
      <c r="D41" s="347"/>
      <c r="E41" s="348">
        <f t="shared" si="3"/>
        <v>0</v>
      </c>
      <c r="F41" s="48"/>
      <c r="G41" s="48"/>
      <c r="H41" s="75"/>
      <c r="I41" s="49"/>
      <c r="J41" s="49"/>
      <c r="K41" s="49"/>
      <c r="L41" s="49"/>
    </row>
    <row r="42" spans="2:12" x14ac:dyDescent="0.25">
      <c r="B42" s="345"/>
      <c r="C42" s="349"/>
      <c r="D42" s="347"/>
      <c r="E42" s="348">
        <f t="shared" si="3"/>
        <v>0</v>
      </c>
      <c r="F42" s="48"/>
      <c r="G42" s="76"/>
      <c r="H42" s="75"/>
      <c r="I42" s="49"/>
      <c r="J42" s="49"/>
      <c r="K42" s="49"/>
      <c r="L42" s="49"/>
    </row>
    <row r="43" spans="2:12" x14ac:dyDescent="0.25">
      <c r="B43" s="283"/>
      <c r="C43" s="276"/>
      <c r="D43" s="277"/>
      <c r="E43" s="308">
        <f t="shared" si="3"/>
        <v>0</v>
      </c>
      <c r="F43" s="48"/>
      <c r="G43" s="48"/>
      <c r="H43" s="75"/>
      <c r="I43" s="49"/>
      <c r="J43" s="49"/>
      <c r="K43" s="49"/>
      <c r="L43" s="49"/>
    </row>
    <row r="44" spans="2:12" x14ac:dyDescent="0.25">
      <c r="B44" s="278"/>
      <c r="C44" s="284"/>
      <c r="D44" s="280"/>
      <c r="E44" s="309"/>
      <c r="F44" s="48"/>
      <c r="G44" s="48"/>
      <c r="H44" s="75"/>
      <c r="I44" s="49"/>
      <c r="J44" s="49"/>
      <c r="K44" s="49"/>
      <c r="L44" s="49"/>
    </row>
    <row r="45" spans="2:12" x14ac:dyDescent="0.25">
      <c r="B45" s="272" t="s">
        <v>310</v>
      </c>
      <c r="C45" s="332"/>
      <c r="D45" s="333"/>
      <c r="E45" s="310">
        <f>SUM(E46:E49)</f>
        <v>119.61599999999999</v>
      </c>
      <c r="F45" s="48"/>
      <c r="G45" s="76"/>
      <c r="H45" s="75"/>
      <c r="I45" s="49"/>
      <c r="J45" s="49"/>
      <c r="K45" s="49"/>
      <c r="L45" s="49"/>
    </row>
    <row r="46" spans="2:12" x14ac:dyDescent="0.25">
      <c r="B46" s="368" t="s">
        <v>394</v>
      </c>
      <c r="C46" s="285">
        <f>$D$17</f>
        <v>99.679999999999993</v>
      </c>
      <c r="D46" s="275">
        <v>0.75</v>
      </c>
      <c r="E46" s="307">
        <f>D46*C46</f>
        <v>74.759999999999991</v>
      </c>
      <c r="F46" s="48"/>
      <c r="G46" s="76"/>
      <c r="H46" s="75"/>
      <c r="I46" s="49"/>
      <c r="J46" s="49"/>
      <c r="K46" s="49"/>
      <c r="L46" s="49"/>
    </row>
    <row r="47" spans="2:12" x14ac:dyDescent="0.25">
      <c r="B47" s="369" t="s">
        <v>395</v>
      </c>
      <c r="C47" s="346">
        <f>$D$17</f>
        <v>99.679999999999993</v>
      </c>
      <c r="D47" s="347">
        <v>0.25</v>
      </c>
      <c r="E47" s="348">
        <f t="shared" ref="E47:E48" si="4">D47*C47</f>
        <v>24.919999999999998</v>
      </c>
      <c r="F47" s="48"/>
      <c r="G47" s="76"/>
      <c r="H47" s="75"/>
      <c r="I47" s="49"/>
      <c r="J47" s="49"/>
      <c r="K47" s="49"/>
      <c r="L47" s="49"/>
    </row>
    <row r="48" spans="2:12" x14ac:dyDescent="0.25">
      <c r="B48" s="369" t="s">
        <v>329</v>
      </c>
      <c r="C48" s="346">
        <f>$D$17</f>
        <v>99.679999999999993</v>
      </c>
      <c r="D48" s="347">
        <v>0.2</v>
      </c>
      <c r="E48" s="348">
        <f t="shared" si="4"/>
        <v>19.936</v>
      </c>
      <c r="F48" s="48"/>
      <c r="G48" s="48"/>
      <c r="H48" s="75"/>
      <c r="I48" s="49"/>
      <c r="J48" s="49"/>
      <c r="K48" s="49"/>
      <c r="L48" s="49"/>
    </row>
    <row r="49" spans="2:12" x14ac:dyDescent="0.25">
      <c r="B49" s="370"/>
      <c r="C49" s="286"/>
      <c r="D49" s="277"/>
      <c r="E49" s="308">
        <f>D49*C49</f>
        <v>0</v>
      </c>
      <c r="F49" s="48"/>
      <c r="G49" s="48"/>
      <c r="H49" s="75"/>
      <c r="I49" s="49"/>
      <c r="J49" s="49"/>
      <c r="K49" s="49"/>
      <c r="L49" s="49"/>
    </row>
    <row r="50" spans="2:12" x14ac:dyDescent="0.25">
      <c r="B50" s="278"/>
      <c r="C50" s="284"/>
      <c r="D50" s="280"/>
      <c r="E50" s="309"/>
      <c r="F50" s="48"/>
      <c r="G50" s="76"/>
      <c r="H50" s="75"/>
      <c r="I50" s="49"/>
      <c r="J50" s="49"/>
      <c r="K50" s="49"/>
      <c r="L50" s="49"/>
    </row>
    <row r="51" spans="2:12" x14ac:dyDescent="0.25">
      <c r="B51" s="371" t="s">
        <v>35</v>
      </c>
      <c r="C51" s="384">
        <f>SUM(C53:C63)</f>
        <v>3.6666666666666665</v>
      </c>
      <c r="D51" s="378" t="s">
        <v>320</v>
      </c>
      <c r="E51" s="379" t="s">
        <v>369</v>
      </c>
      <c r="F51" s="48"/>
      <c r="G51" s="76"/>
      <c r="H51" s="75"/>
      <c r="I51" s="49"/>
      <c r="J51" s="49"/>
      <c r="K51" s="49"/>
      <c r="L51" s="49"/>
    </row>
    <row r="52" spans="2:12" x14ac:dyDescent="0.25">
      <c r="B52" s="272" t="s">
        <v>333</v>
      </c>
      <c r="C52" s="332"/>
      <c r="D52" s="288">
        <f>SUM(D53:D63)</f>
        <v>53.166666666666664</v>
      </c>
      <c r="E52" s="310">
        <f>SUM(E53:E63)</f>
        <v>68.333333333333329</v>
      </c>
      <c r="F52" s="48"/>
      <c r="G52" s="48"/>
      <c r="H52" s="75"/>
      <c r="I52" s="49"/>
      <c r="J52" s="49"/>
      <c r="K52" s="49"/>
      <c r="L52" s="49"/>
    </row>
    <row r="53" spans="2:12" x14ac:dyDescent="0.25">
      <c r="B53" s="368" t="s">
        <v>442</v>
      </c>
      <c r="C53" s="293">
        <v>1.5</v>
      </c>
      <c r="D53" s="289">
        <f>C53*$D$10</f>
        <v>21</v>
      </c>
      <c r="E53" s="307">
        <f t="shared" ref="E53:E59" si="5">C53*$D$8</f>
        <v>27</v>
      </c>
      <c r="F53" s="48"/>
      <c r="G53" s="48"/>
      <c r="H53" s="75"/>
      <c r="I53" s="49"/>
      <c r="J53" s="49"/>
      <c r="K53" s="49"/>
      <c r="L53" s="49"/>
    </row>
    <row r="54" spans="2:12" x14ac:dyDescent="0.25">
      <c r="B54" s="373" t="s">
        <v>443</v>
      </c>
      <c r="C54" s="293">
        <v>2</v>
      </c>
      <c r="D54" s="289">
        <f t="shared" ref="D54:D59" si="6">C54*$D$10</f>
        <v>28</v>
      </c>
      <c r="E54" s="307">
        <f t="shared" si="5"/>
        <v>36</v>
      </c>
      <c r="F54" s="48"/>
      <c r="G54" s="48"/>
      <c r="H54" s="75"/>
      <c r="I54" s="49"/>
      <c r="J54" s="49"/>
      <c r="K54" s="49"/>
      <c r="L54" s="49"/>
    </row>
    <row r="55" spans="2:12" x14ac:dyDescent="0.25">
      <c r="B55" s="373"/>
      <c r="C55" s="350"/>
      <c r="D55" s="289">
        <f t="shared" si="6"/>
        <v>0</v>
      </c>
      <c r="E55" s="307">
        <f t="shared" si="5"/>
        <v>0</v>
      </c>
      <c r="F55" s="48"/>
      <c r="G55" s="48"/>
      <c r="H55" s="75"/>
      <c r="I55" s="49"/>
      <c r="J55" s="49"/>
      <c r="K55" s="49"/>
      <c r="L55" s="49"/>
    </row>
    <row r="56" spans="2:12" x14ac:dyDescent="0.25">
      <c r="B56" s="373"/>
      <c r="C56" s="350"/>
      <c r="D56" s="289">
        <f t="shared" si="6"/>
        <v>0</v>
      </c>
      <c r="E56" s="307">
        <f t="shared" si="5"/>
        <v>0</v>
      </c>
      <c r="F56" s="48"/>
      <c r="G56" s="48"/>
      <c r="H56" s="75"/>
      <c r="I56" s="49"/>
      <c r="J56" s="49"/>
      <c r="K56" s="49"/>
      <c r="L56" s="49"/>
    </row>
    <row r="57" spans="2:12" x14ac:dyDescent="0.25">
      <c r="B57" s="373"/>
      <c r="C57" s="350"/>
      <c r="D57" s="289">
        <f t="shared" si="6"/>
        <v>0</v>
      </c>
      <c r="E57" s="307">
        <f t="shared" si="5"/>
        <v>0</v>
      </c>
      <c r="F57" s="48"/>
      <c r="G57" s="48"/>
      <c r="H57" s="75"/>
      <c r="I57" s="49"/>
      <c r="J57" s="49"/>
      <c r="K57" s="49"/>
      <c r="L57" s="49"/>
    </row>
    <row r="58" spans="2:12" x14ac:dyDescent="0.25">
      <c r="B58" s="374"/>
      <c r="C58" s="350"/>
      <c r="D58" s="289">
        <f t="shared" si="6"/>
        <v>0</v>
      </c>
      <c r="E58" s="307">
        <f t="shared" si="5"/>
        <v>0</v>
      </c>
      <c r="F58" s="48"/>
      <c r="G58" s="48"/>
      <c r="H58" s="75"/>
      <c r="I58" s="49"/>
      <c r="J58" s="49"/>
      <c r="K58" s="49"/>
      <c r="L58" s="49"/>
    </row>
    <row r="59" spans="2:12" x14ac:dyDescent="0.25">
      <c r="B59" s="375"/>
      <c r="C59" s="350"/>
      <c r="D59" s="289">
        <f t="shared" si="6"/>
        <v>0</v>
      </c>
      <c r="E59" s="307">
        <f t="shared" si="5"/>
        <v>0</v>
      </c>
      <c r="F59" s="48"/>
      <c r="G59" s="306"/>
      <c r="H59" s="75"/>
      <c r="I59" s="49"/>
      <c r="J59" s="49"/>
      <c r="K59" s="49"/>
      <c r="L59" s="49"/>
    </row>
    <row r="60" spans="2:12" x14ac:dyDescent="0.25">
      <c r="B60" s="374"/>
      <c r="C60" s="376"/>
      <c r="D60" s="289">
        <f>C60*$D$10</f>
        <v>0</v>
      </c>
      <c r="E60" s="307">
        <f>C60*$D$8</f>
        <v>0</v>
      </c>
      <c r="F60" s="48"/>
      <c r="G60" s="306"/>
      <c r="H60" s="75"/>
      <c r="I60" s="49"/>
      <c r="J60" s="49"/>
      <c r="K60" s="49"/>
      <c r="L60" s="49"/>
    </row>
    <row r="61" spans="2:12" x14ac:dyDescent="0.25">
      <c r="B61" s="375"/>
      <c r="C61" s="293"/>
      <c r="D61" s="289">
        <f t="shared" ref="D61:D62" si="7">C61*$D$8</f>
        <v>0</v>
      </c>
      <c r="E61" s="307">
        <f>D61*C61</f>
        <v>0</v>
      </c>
      <c r="F61" s="48"/>
      <c r="G61" s="306"/>
      <c r="H61" s="75"/>
      <c r="I61" s="49"/>
      <c r="J61" s="49"/>
      <c r="K61" s="49"/>
      <c r="L61" s="49"/>
    </row>
    <row r="62" spans="2:12" x14ac:dyDescent="0.25">
      <c r="B62" s="373"/>
      <c r="C62" s="293"/>
      <c r="D62" s="289">
        <f t="shared" si="7"/>
        <v>0</v>
      </c>
      <c r="E62" s="307">
        <f>D62*C62</f>
        <v>0</v>
      </c>
      <c r="F62" s="48"/>
      <c r="G62" s="306"/>
      <c r="H62" s="48"/>
      <c r="I62" s="75"/>
      <c r="J62" s="49"/>
      <c r="K62" s="49"/>
      <c r="L62" s="49"/>
    </row>
    <row r="63" spans="2:12" x14ac:dyDescent="0.25">
      <c r="B63" s="370" t="s">
        <v>335</v>
      </c>
      <c r="C63" s="351">
        <f>0.125*8/6</f>
        <v>0.16666666666666666</v>
      </c>
      <c r="D63" s="291">
        <f>C63*$D$11</f>
        <v>4.1666666666666661</v>
      </c>
      <c r="E63" s="308">
        <f>C63*$D$9</f>
        <v>5.333333333333333</v>
      </c>
      <c r="F63" s="280"/>
      <c r="G63" s="385"/>
      <c r="L63" s="49"/>
    </row>
    <row r="64" spans="2:12" x14ac:dyDescent="0.25">
      <c r="B64" s="278"/>
      <c r="C64" s="356"/>
      <c r="D64" s="280"/>
      <c r="E64" s="309"/>
      <c r="F64" s="280"/>
      <c r="L64" s="49"/>
    </row>
    <row r="65" spans="1:18" x14ac:dyDescent="0.25">
      <c r="B65" s="272" t="s">
        <v>362</v>
      </c>
      <c r="C65" s="334"/>
      <c r="D65" s="288">
        <f>SUM(D66:D78)</f>
        <v>47.467999999999996</v>
      </c>
      <c r="E65" s="310">
        <f>SUM(E66:E78)</f>
        <v>63.29066666666666</v>
      </c>
    </row>
    <row r="66" spans="1:18" s="75" customFormat="1" x14ac:dyDescent="0.25">
      <c r="A66" s="49"/>
      <c r="B66" s="274" t="s">
        <v>322</v>
      </c>
      <c r="C66" s="293">
        <f>8/$D$14</f>
        <v>2</v>
      </c>
      <c r="D66" s="289">
        <f>$D$6*C66*$D$7</f>
        <v>37.5</v>
      </c>
      <c r="E66" s="307">
        <f>C66*$D$19</f>
        <v>50</v>
      </c>
      <c r="H66" s="49"/>
      <c r="I66" s="48"/>
      <c r="J66" s="48"/>
      <c r="K66" s="48"/>
      <c r="M66" s="49"/>
      <c r="N66" s="49"/>
      <c r="O66" s="49"/>
      <c r="P66" s="49"/>
      <c r="Q66" s="49"/>
      <c r="R66" s="49"/>
    </row>
    <row r="67" spans="1:18" s="75" customFormat="1" x14ac:dyDescent="0.25">
      <c r="A67" s="49"/>
      <c r="B67" s="349" t="s">
        <v>441</v>
      </c>
      <c r="C67" s="382">
        <f>(2/1500)*$D$17</f>
        <v>0.13290666666666665</v>
      </c>
      <c r="D67" s="383">
        <f>C67*$D$19*$D$7</f>
        <v>2.4919999999999995</v>
      </c>
      <c r="E67" s="307">
        <f>C67*$D$19</f>
        <v>3.3226666666666662</v>
      </c>
      <c r="H67" s="49"/>
      <c r="I67" s="48"/>
      <c r="J67" s="48"/>
      <c r="K67" s="48"/>
      <c r="M67" s="49"/>
      <c r="N67" s="49"/>
      <c r="O67" s="49"/>
      <c r="P67" s="49"/>
      <c r="Q67" s="49"/>
      <c r="R67" s="49"/>
    </row>
    <row r="68" spans="1:18" s="75" customFormat="1" x14ac:dyDescent="0.25">
      <c r="A68" s="49"/>
      <c r="B68" s="349" t="s">
        <v>447</v>
      </c>
      <c r="C68" s="382">
        <f>(2/1500)*$D$17</f>
        <v>0.13290666666666665</v>
      </c>
      <c r="D68" s="383">
        <f>C68*$D$19*$D$7</f>
        <v>2.4919999999999995</v>
      </c>
      <c r="E68" s="307">
        <f>C68*$D$19</f>
        <v>3.3226666666666662</v>
      </c>
      <c r="H68" s="49"/>
      <c r="I68" s="48"/>
      <c r="J68" s="48"/>
      <c r="K68" s="48"/>
      <c r="M68" s="49"/>
      <c r="N68" s="49"/>
      <c r="O68" s="49"/>
      <c r="P68" s="49"/>
      <c r="Q68" s="49"/>
      <c r="R68" s="49"/>
    </row>
    <row r="69" spans="1:18" s="75" customFormat="1" x14ac:dyDescent="0.25">
      <c r="A69" s="49"/>
      <c r="B69" s="349" t="s">
        <v>446</v>
      </c>
      <c r="C69" s="382">
        <f>(4/1500)*$D$17</f>
        <v>0.26581333333333329</v>
      </c>
      <c r="D69" s="383">
        <f>C69*$D$19*$D$7</f>
        <v>4.9839999999999991</v>
      </c>
      <c r="E69" s="307">
        <f>C69*$D$19</f>
        <v>6.6453333333333324</v>
      </c>
      <c r="H69" s="49"/>
      <c r="I69" s="48"/>
      <c r="J69" s="48"/>
      <c r="K69" s="48"/>
      <c r="M69" s="49"/>
      <c r="N69" s="49"/>
      <c r="O69" s="49"/>
      <c r="P69" s="49"/>
      <c r="Q69" s="49"/>
      <c r="R69" s="49"/>
    </row>
    <row r="70" spans="1:18" s="75" customFormat="1" x14ac:dyDescent="0.25">
      <c r="A70" s="49"/>
      <c r="B70" s="276"/>
      <c r="C70" s="290"/>
      <c r="D70" s="291"/>
      <c r="E70" s="308"/>
      <c r="H70" s="49"/>
      <c r="I70" s="48"/>
      <c r="J70" s="48"/>
      <c r="K70" s="48"/>
      <c r="M70" s="49"/>
      <c r="N70" s="49"/>
      <c r="O70" s="49"/>
      <c r="P70" s="49"/>
      <c r="Q70" s="49"/>
      <c r="R70" s="49"/>
    </row>
  </sheetData>
  <mergeCells count="6">
    <mergeCell ref="B2:K2"/>
    <mergeCell ref="C3:K3"/>
    <mergeCell ref="B5:E5"/>
    <mergeCell ref="G5:K5"/>
    <mergeCell ref="C25:E25"/>
    <mergeCell ref="B23:E23"/>
  </mergeCells>
  <pageMargins left="0.45" right="0.2" top="0.75" bottom="0.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RevenueStreams</vt:lpstr>
      <vt:lpstr>8YrCalendar</vt:lpstr>
      <vt:lpstr>Plots</vt:lpstr>
      <vt:lpstr>Payroll</vt:lpstr>
      <vt:lpstr>RevenueStreams_Old</vt:lpstr>
      <vt:lpstr>Salaries</vt:lpstr>
      <vt:lpstr>FrozenCornOnTheCob</vt:lpstr>
      <vt:lpstr>FrozenBroccoli</vt:lpstr>
      <vt:lpstr>SugarFreeJam</vt:lpstr>
      <vt:lpstr>PickledGarlic</vt:lpstr>
      <vt:lpstr>RootVegMedley</vt:lpstr>
      <vt:lpstr>PickledCarrotsOld</vt:lpstr>
      <vt:lpstr>KitchenEquipmentCosts</vt:lpstr>
      <vt:lpstr>EquipmentAtOtherFacilities</vt:lpstr>
      <vt:lpstr>ProjAssumptions</vt:lpstr>
      <vt:lpstr>NamedRanges</vt:lpstr>
      <vt:lpstr>FrozenVegMedley_2Options</vt:lpstr>
      <vt:lpstr>Jam</vt:lpstr>
      <vt:lpstr>EquipmentVoltage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Nils Johnson</dc:creator>
  <cp:lastModifiedBy>Nils Johnson</cp:lastModifiedBy>
  <cp:lastPrinted>2017-08-23T21:34:42Z</cp:lastPrinted>
  <dcterms:created xsi:type="dcterms:W3CDTF">2017-06-25T19:42:32Z</dcterms:created>
  <dcterms:modified xsi:type="dcterms:W3CDTF">2017-09-22T23:57:50Z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f3d0ebf6-dd1a-4504-adc6-61eaf4afe03c</vt:lpwstr>
  </property>
</Properties>
</file>